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fileSharing userName="Аверина" reservationPassword="CC29"/>
  <workbookPr showInkAnnotation="0" defaultThemeVersion="124226"/>
  <bookViews>
    <workbookView xWindow="0" yWindow="120" windowWidth="28800" windowHeight="12315"/>
  </bookViews>
  <sheets>
    <sheet name="форма_2.8" sheetId="2" r:id="rId1"/>
    <sheet name="начисл.опл." sheetId="1" r:id="rId2"/>
    <sheet name="КиБ_ОСВ" sheetId="6" r:id="rId3"/>
    <sheet name="12.16_ИП" sheetId="5" r:id="rId4"/>
    <sheet name="тарифы_2016_срав" sheetId="3" r:id="rId5"/>
    <sheet name="тек.рем" sheetId="7" r:id="rId6"/>
  </sheets>
  <externalReferences>
    <externalReference r:id="rId7"/>
    <externalReference r:id="rId8"/>
    <externalReference r:id="rId9"/>
  </externalReferences>
  <definedNames>
    <definedName name="_xlnm._FilterDatabase" localSheetId="3" hidden="1">'12.16_ИП'!$A$20:$AN$68</definedName>
    <definedName name="_xlnm.Print_Titles" localSheetId="3">'12.16_ИП'!$18:$20</definedName>
    <definedName name="_xlnm.Print_Titles" localSheetId="1">начисл.опл.!$1:$2</definedName>
    <definedName name="_xlnm.Print_Titles" localSheetId="4">тарифы_2016_срав!$8:$8</definedName>
    <definedName name="_xlnm.Print_Titles" localSheetId="0">форма_2.8!$5:$5</definedName>
    <definedName name="_xlnm.Print_Area" localSheetId="3">'12.16_ИП'!$A$17:$K$69</definedName>
    <definedName name="_xlnm.Print_Area" localSheetId="1">начисл.опл.!$A$1:$U$32</definedName>
    <definedName name="_xlnm.Print_Area" localSheetId="4">тарифы_2016_срав!$A$7:$L$34</definedName>
    <definedName name="_xlnm.Print_Area" localSheetId="0">форма_2.8!$A$1:$J$167</definedName>
  </definedNames>
  <calcPr calcId="145621"/>
</workbook>
</file>

<file path=xl/calcChain.xml><?xml version="1.0" encoding="utf-8"?>
<calcChain xmlns="http://schemas.openxmlformats.org/spreadsheetml/2006/main">
  <c r="E25" i="2" l="1"/>
  <c r="C156" i="2" l="1"/>
  <c r="G158" i="2" l="1"/>
  <c r="H158" i="2" s="1"/>
  <c r="G157" i="2"/>
  <c r="H157" i="2" s="1"/>
  <c r="G156" i="2"/>
  <c r="G155" i="2"/>
  <c r="H155" i="2" s="1"/>
  <c r="H156" i="2" l="1"/>
  <c r="I156" i="2" s="1"/>
  <c r="I158" i="2"/>
  <c r="I157" i="2"/>
  <c r="E158" i="2" l="1"/>
  <c r="D158" i="2"/>
  <c r="E157" i="2"/>
  <c r="D157" i="2"/>
  <c r="E156" i="2"/>
  <c r="D156" i="2"/>
  <c r="E155" i="2"/>
  <c r="D155" i="2"/>
  <c r="E139" i="2"/>
  <c r="E134" i="2"/>
  <c r="E130" i="2"/>
  <c r="E125" i="2"/>
  <c r="E124" i="2"/>
  <c r="E119" i="2"/>
  <c r="E118" i="2"/>
  <c r="E113" i="2"/>
  <c r="E112" i="2"/>
  <c r="E106" i="2"/>
  <c r="E100" i="2"/>
  <c r="E94" i="2"/>
  <c r="E89" i="2"/>
  <c r="E88" i="2"/>
  <c r="E82" i="2"/>
  <c r="E76" i="2"/>
  <c r="E70" i="2"/>
  <c r="E64" i="2"/>
  <c r="E58" i="2"/>
  <c r="E53" i="2"/>
  <c r="E52" i="2"/>
  <c r="E47" i="2"/>
  <c r="E46" i="2"/>
  <c r="E40" i="2"/>
  <c r="E35" i="2"/>
  <c r="E34" i="2"/>
  <c r="E28" i="2"/>
  <c r="E29" i="2"/>
  <c r="E15" i="2"/>
  <c r="L29" i="2" l="1"/>
  <c r="P52" i="1"/>
  <c r="P47" i="1"/>
  <c r="P43" i="1"/>
  <c r="P38" i="1"/>
  <c r="P35" i="1" l="1"/>
  <c r="P34" i="1"/>
  <c r="P26" i="1"/>
  <c r="Q26" i="1" s="1"/>
  <c r="P11" i="1"/>
  <c r="P24" i="1"/>
  <c r="Q24" i="1" s="1"/>
  <c r="P14" i="1"/>
  <c r="Q14" i="1" s="1"/>
  <c r="P13" i="1"/>
  <c r="P23" i="1"/>
  <c r="P22" i="1"/>
  <c r="Q22" i="1" s="1"/>
  <c r="P21" i="1"/>
  <c r="P20" i="1"/>
  <c r="P19" i="1"/>
  <c r="P18" i="1"/>
  <c r="Q18" i="1" s="1"/>
  <c r="P17" i="1"/>
  <c r="P16" i="1"/>
  <c r="Q16" i="1" s="1"/>
  <c r="P15" i="1"/>
  <c r="P12" i="1"/>
  <c r="Q12" i="1" s="1"/>
  <c r="P9" i="1"/>
  <c r="Q9" i="1" s="1"/>
  <c r="P8" i="1"/>
  <c r="P7" i="1"/>
  <c r="Q7" i="1" s="1"/>
  <c r="P6" i="1"/>
  <c r="Q6" i="1" s="1"/>
  <c r="P5" i="1"/>
  <c r="Q56" i="1"/>
  <c r="Q55" i="1"/>
  <c r="Q54" i="1"/>
  <c r="Q53" i="1"/>
  <c r="Q50" i="1"/>
  <c r="Q49" i="1"/>
  <c r="Q48" i="1"/>
  <c r="Q45" i="1"/>
  <c r="Q44" i="1"/>
  <c r="Q41" i="1"/>
  <c r="Q40" i="1"/>
  <c r="Q39" i="1"/>
  <c r="Q36" i="1"/>
  <c r="Q35" i="1"/>
  <c r="Q34" i="1"/>
  <c r="Q23" i="1"/>
  <c r="Q21" i="1"/>
  <c r="Q20" i="1"/>
  <c r="Q19" i="1"/>
  <c r="Q17" i="1"/>
  <c r="Q15" i="1"/>
  <c r="Q13" i="1"/>
  <c r="Q8" i="1"/>
  <c r="Q5" i="1"/>
  <c r="B11" i="1"/>
  <c r="B4" i="1" s="1"/>
  <c r="N52" i="1"/>
  <c r="Q52" i="1" s="1"/>
  <c r="M52" i="1"/>
  <c r="L52" i="1"/>
  <c r="K52" i="1"/>
  <c r="J52" i="1"/>
  <c r="I52" i="1"/>
  <c r="H52" i="1"/>
  <c r="G52" i="1"/>
  <c r="F52" i="1"/>
  <c r="E52" i="1"/>
  <c r="D52" i="1"/>
  <c r="C52" i="1"/>
  <c r="B52" i="1"/>
  <c r="N47" i="1"/>
  <c r="Q47" i="1" s="1"/>
  <c r="M47" i="1"/>
  <c r="L47" i="1"/>
  <c r="K47" i="1"/>
  <c r="J47" i="1"/>
  <c r="I47" i="1"/>
  <c r="H47" i="1"/>
  <c r="G47" i="1"/>
  <c r="F47" i="1"/>
  <c r="E47" i="1"/>
  <c r="D47" i="1"/>
  <c r="C47" i="1"/>
  <c r="B47" i="1"/>
  <c r="N43" i="1"/>
  <c r="Q43" i="1" s="1"/>
  <c r="M43" i="1"/>
  <c r="L43" i="1"/>
  <c r="K43" i="1"/>
  <c r="J43" i="1"/>
  <c r="I43" i="1"/>
  <c r="H43" i="1"/>
  <c r="G43" i="1"/>
  <c r="F43" i="1"/>
  <c r="E43" i="1"/>
  <c r="D43" i="1"/>
  <c r="C43" i="1"/>
  <c r="B43" i="1"/>
  <c r="N38" i="1"/>
  <c r="Q38" i="1" s="1"/>
  <c r="M38" i="1"/>
  <c r="L38" i="1"/>
  <c r="K38" i="1"/>
  <c r="J38" i="1"/>
  <c r="I38" i="1"/>
  <c r="H38" i="1"/>
  <c r="G38" i="1"/>
  <c r="F38" i="1"/>
  <c r="E38" i="1"/>
  <c r="D38" i="1"/>
  <c r="C38" i="1"/>
  <c r="B38" i="1"/>
  <c r="G70" i="1" l="1"/>
  <c r="H70" i="1"/>
  <c r="F70" i="1"/>
  <c r="I69" i="1"/>
  <c r="I70" i="1" s="1"/>
  <c r="I68" i="1"/>
  <c r="C28" i="1" l="1"/>
  <c r="D28" i="1"/>
  <c r="E28" i="1"/>
  <c r="F28" i="1"/>
  <c r="G28" i="1"/>
  <c r="H28" i="1"/>
  <c r="I28" i="1"/>
  <c r="J28" i="1"/>
  <c r="K28" i="1"/>
  <c r="L28" i="1"/>
  <c r="M28" i="1"/>
  <c r="N28" i="1"/>
  <c r="E16" i="2" s="1"/>
  <c r="B28" i="1"/>
  <c r="B32" i="1" s="1"/>
  <c r="C11" i="1"/>
  <c r="C4" i="1" s="1"/>
  <c r="D11" i="1"/>
  <c r="D4" i="1" s="1"/>
  <c r="D32" i="1" s="1"/>
  <c r="D57" i="1" s="1"/>
  <c r="D60" i="1" s="1"/>
  <c r="E11" i="1"/>
  <c r="E4" i="1" s="1"/>
  <c r="F11" i="1"/>
  <c r="F4" i="1" s="1"/>
  <c r="G11" i="1"/>
  <c r="G4" i="1" s="1"/>
  <c r="H11" i="1"/>
  <c r="H4" i="1" s="1"/>
  <c r="I11" i="1"/>
  <c r="I4" i="1" s="1"/>
  <c r="J11" i="1"/>
  <c r="J4" i="1" s="1"/>
  <c r="K11" i="1"/>
  <c r="K4" i="1" s="1"/>
  <c r="L11" i="1"/>
  <c r="L4" i="1" s="1"/>
  <c r="M11" i="1"/>
  <c r="M4" i="1" s="1"/>
  <c r="N11" i="1"/>
  <c r="P28" i="1" l="1"/>
  <c r="Q28" i="1" s="1"/>
  <c r="B57" i="1"/>
  <c r="B60" i="1" s="1"/>
  <c r="N4" i="1"/>
  <c r="Q11" i="1"/>
  <c r="L32" i="1"/>
  <c r="L57" i="1" s="1"/>
  <c r="L60" i="1" s="1"/>
  <c r="H32" i="1"/>
  <c r="H57" i="1" s="1"/>
  <c r="H60" i="1" s="1"/>
  <c r="M32" i="1"/>
  <c r="I32" i="1"/>
  <c r="E32" i="1"/>
  <c r="J32" i="1"/>
  <c r="F32" i="1"/>
  <c r="K32" i="1"/>
  <c r="G32" i="1"/>
  <c r="C32" i="1"/>
  <c r="N32" i="1" l="1"/>
  <c r="E14" i="2"/>
  <c r="G57" i="1"/>
  <c r="G60" i="1" s="1"/>
  <c r="F57" i="1"/>
  <c r="F60" i="1" s="1"/>
  <c r="I57" i="1"/>
  <c r="I60" i="1" s="1"/>
  <c r="N57" i="1"/>
  <c r="N60" i="1" s="1"/>
  <c r="K57" i="1"/>
  <c r="K60" i="1" s="1"/>
  <c r="E57" i="1"/>
  <c r="E60" i="1" s="1"/>
  <c r="C57" i="1"/>
  <c r="C60" i="1" s="1"/>
  <c r="J57" i="1"/>
  <c r="J60" i="1" s="1"/>
  <c r="M57" i="1"/>
  <c r="M60" i="1" s="1"/>
  <c r="E138" i="2" l="1"/>
  <c r="E127" i="2"/>
  <c r="E121" i="2"/>
  <c r="E115" i="2"/>
  <c r="E109" i="2"/>
  <c r="E103" i="2"/>
  <c r="E97" i="2"/>
  <c r="E91" i="2"/>
  <c r="E85" i="2"/>
  <c r="E79" i="2"/>
  <c r="E73" i="2" l="1"/>
  <c r="E67" i="2"/>
  <c r="E61" i="2"/>
  <c r="E55" i="2"/>
  <c r="E49" i="2"/>
  <c r="E43" i="2"/>
  <c r="E37" i="2"/>
  <c r="E31" i="2" l="1"/>
  <c r="N61" i="1" l="1"/>
  <c r="C61" i="1"/>
  <c r="D61" i="1"/>
  <c r="E61" i="1"/>
  <c r="F61" i="1"/>
  <c r="G61" i="1"/>
  <c r="H61" i="1"/>
  <c r="I61" i="1"/>
  <c r="J61" i="1"/>
  <c r="K61" i="1"/>
  <c r="L61" i="1"/>
  <c r="M61" i="1"/>
  <c r="B61" i="1"/>
  <c r="F24" i="5" l="1"/>
  <c r="I67" i="5" l="1"/>
  <c r="O66" i="5"/>
  <c r="M66" i="5"/>
  <c r="L66" i="5"/>
  <c r="I66" i="5"/>
  <c r="I65" i="5" s="1"/>
  <c r="O65" i="5"/>
  <c r="M65" i="5"/>
  <c r="L65" i="5"/>
  <c r="O64" i="5"/>
  <c r="P64" i="5" s="1"/>
  <c r="M64" i="5"/>
  <c r="F64" i="5"/>
  <c r="H64" i="5" s="1"/>
  <c r="M63" i="5"/>
  <c r="P63" i="5" s="1"/>
  <c r="L63" i="5"/>
  <c r="F63" i="5"/>
  <c r="H63" i="5" s="1"/>
  <c r="P62" i="5"/>
  <c r="I62" i="5"/>
  <c r="F62" i="5"/>
  <c r="H62" i="5" s="1"/>
  <c r="Q62" i="5" s="1"/>
  <c r="W61" i="5"/>
  <c r="V61" i="5"/>
  <c r="U61" i="5"/>
  <c r="O61" i="5"/>
  <c r="M61" i="5"/>
  <c r="L61" i="5"/>
  <c r="M60" i="5"/>
  <c r="M58" i="5" s="1"/>
  <c r="L60" i="5"/>
  <c r="P60" i="5" s="1"/>
  <c r="F60" i="5"/>
  <c r="H60" i="5" s="1"/>
  <c r="P59" i="5"/>
  <c r="I59" i="5"/>
  <c r="F59" i="5"/>
  <c r="H59" i="5" s="1"/>
  <c r="O58" i="5"/>
  <c r="L58" i="5"/>
  <c r="P57" i="5"/>
  <c r="M57" i="5"/>
  <c r="K57" i="5"/>
  <c r="I57" i="5"/>
  <c r="H57" i="5"/>
  <c r="P56" i="5"/>
  <c r="L56" i="5"/>
  <c r="I56" i="5" s="1"/>
  <c r="F56" i="5"/>
  <c r="H56" i="5" s="1"/>
  <c r="M55" i="5"/>
  <c r="P55" i="5" s="1"/>
  <c r="F55" i="5"/>
  <c r="H55" i="5" s="1"/>
  <c r="O54" i="5"/>
  <c r="M54" i="5"/>
  <c r="L54" i="5"/>
  <c r="O53" i="5"/>
  <c r="M53" i="5"/>
  <c r="L53" i="5"/>
  <c r="P53" i="5" s="1"/>
  <c r="I53" i="5"/>
  <c r="F53" i="5"/>
  <c r="H53" i="5" s="1"/>
  <c r="K53" i="5" s="1"/>
  <c r="E53" i="5"/>
  <c r="L52" i="5"/>
  <c r="P52" i="5" s="1"/>
  <c r="I52" i="5"/>
  <c r="F52" i="5"/>
  <c r="H52" i="5" s="1"/>
  <c r="P51" i="5"/>
  <c r="O51" i="5"/>
  <c r="M51" i="5"/>
  <c r="L51" i="5"/>
  <c r="I51" i="5" s="1"/>
  <c r="F51" i="5"/>
  <c r="H51" i="5" s="1"/>
  <c r="E51" i="5"/>
  <c r="O50" i="5"/>
  <c r="M50" i="5"/>
  <c r="P49" i="5"/>
  <c r="I49" i="5"/>
  <c r="F49" i="5"/>
  <c r="H49" i="5" s="1"/>
  <c r="P48" i="5"/>
  <c r="I48" i="5"/>
  <c r="F48" i="5"/>
  <c r="H48" i="5" s="1"/>
  <c r="P46" i="5"/>
  <c r="O46" i="5"/>
  <c r="I46" i="5"/>
  <c r="F46" i="5"/>
  <c r="H46" i="5" s="1"/>
  <c r="K46" i="5" s="1"/>
  <c r="P45" i="5"/>
  <c r="I45" i="5"/>
  <c r="F45" i="5"/>
  <c r="H45" i="5" s="1"/>
  <c r="Q45" i="5" s="1"/>
  <c r="P44" i="5"/>
  <c r="I44" i="5"/>
  <c r="F44" i="5"/>
  <c r="H44" i="5" s="1"/>
  <c r="Q44" i="5" s="1"/>
  <c r="P43" i="5"/>
  <c r="I43" i="5"/>
  <c r="F43" i="5"/>
  <c r="H43" i="5" s="1"/>
  <c r="P42" i="5"/>
  <c r="I42" i="5"/>
  <c r="I41" i="5" s="1"/>
  <c r="F42" i="5"/>
  <c r="P41" i="5"/>
  <c r="O41" i="5"/>
  <c r="M41" i="5"/>
  <c r="L41" i="5"/>
  <c r="P40" i="5"/>
  <c r="I40" i="5"/>
  <c r="F40" i="5"/>
  <c r="H40" i="5" s="1"/>
  <c r="K40" i="5" s="1"/>
  <c r="P39" i="5"/>
  <c r="M39" i="5"/>
  <c r="I39" i="5"/>
  <c r="F39" i="5"/>
  <c r="H39" i="5" s="1"/>
  <c r="K39" i="5" s="1"/>
  <c r="M38" i="5"/>
  <c r="P38" i="5" s="1"/>
  <c r="I38" i="5"/>
  <c r="F38" i="5"/>
  <c r="H38" i="5" s="1"/>
  <c r="K38" i="5" s="1"/>
  <c r="P37" i="5"/>
  <c r="O37" i="5"/>
  <c r="L37" i="5"/>
  <c r="I37" i="5"/>
  <c r="F37" i="5"/>
  <c r="H37" i="5" s="1"/>
  <c r="P36" i="5"/>
  <c r="O36" i="5"/>
  <c r="L36" i="5"/>
  <c r="L35" i="5" s="1"/>
  <c r="I36" i="5"/>
  <c r="F36" i="5"/>
  <c r="O35" i="5"/>
  <c r="M35" i="5"/>
  <c r="M34" i="5"/>
  <c r="P34" i="5" s="1"/>
  <c r="I34" i="5"/>
  <c r="H34" i="5"/>
  <c r="K34" i="5" s="1"/>
  <c r="P33" i="5"/>
  <c r="I33" i="5"/>
  <c r="H33" i="5"/>
  <c r="P32" i="5"/>
  <c r="I32" i="5"/>
  <c r="H32" i="5"/>
  <c r="P31" i="5"/>
  <c r="I31" i="5"/>
  <c r="H31" i="5"/>
  <c r="O30" i="5"/>
  <c r="O24" i="5" s="1"/>
  <c r="M30" i="5"/>
  <c r="M24" i="5" s="1"/>
  <c r="L30" i="5"/>
  <c r="L24" i="5" s="1"/>
  <c r="P29" i="5"/>
  <c r="I29" i="5"/>
  <c r="H29" i="5"/>
  <c r="P28" i="5"/>
  <c r="I28" i="5"/>
  <c r="H28" i="5"/>
  <c r="Q28" i="5" s="1"/>
  <c r="P27" i="5"/>
  <c r="O27" i="5"/>
  <c r="L27" i="5"/>
  <c r="I27" i="5"/>
  <c r="H27" i="5"/>
  <c r="P26" i="5"/>
  <c r="I26" i="5"/>
  <c r="K26" i="5" s="1"/>
  <c r="H26" i="5"/>
  <c r="P25" i="5"/>
  <c r="I25" i="5"/>
  <c r="H25" i="5"/>
  <c r="P22" i="5"/>
  <c r="I22" i="5"/>
  <c r="H22" i="5"/>
  <c r="Q22" i="5" s="1"/>
  <c r="B14" i="5"/>
  <c r="A14" i="5"/>
  <c r="Q32" i="5" l="1"/>
  <c r="K32" i="5"/>
  <c r="K33" i="5"/>
  <c r="O47" i="5"/>
  <c r="F41" i="5"/>
  <c r="F58" i="5"/>
  <c r="H42" i="5"/>
  <c r="Q42" i="5" s="1"/>
  <c r="K59" i="5"/>
  <c r="F35" i="5"/>
  <c r="Q46" i="5"/>
  <c r="F61" i="5"/>
  <c r="K43" i="5"/>
  <c r="K49" i="5"/>
  <c r="Q56" i="5"/>
  <c r="O23" i="5"/>
  <c r="O68" i="5" s="1"/>
  <c r="K29" i="5"/>
  <c r="K22" i="5"/>
  <c r="Q25" i="5"/>
  <c r="K28" i="5"/>
  <c r="K27" i="5"/>
  <c r="Q27" i="5"/>
  <c r="H30" i="5"/>
  <c r="H24" i="5" s="1"/>
  <c r="Q31" i="5"/>
  <c r="I30" i="5"/>
  <c r="P10" i="1" s="1"/>
  <c r="Q34" i="5"/>
  <c r="I35" i="5"/>
  <c r="K37" i="5"/>
  <c r="Q43" i="5"/>
  <c r="Q48" i="5"/>
  <c r="Q49" i="5"/>
  <c r="M47" i="5"/>
  <c r="M23" i="5" s="1"/>
  <c r="M68" i="5" s="1"/>
  <c r="Q51" i="5"/>
  <c r="H58" i="5"/>
  <c r="Q39" i="5"/>
  <c r="Q33" i="5"/>
  <c r="H61" i="5"/>
  <c r="K25" i="5"/>
  <c r="Q29" i="5"/>
  <c r="K45" i="5"/>
  <c r="Q57" i="5"/>
  <c r="Q64" i="5"/>
  <c r="Q55" i="5"/>
  <c r="P54" i="5"/>
  <c r="P58" i="5"/>
  <c r="Q60" i="5"/>
  <c r="Q38" i="5"/>
  <c r="P35" i="5"/>
  <c r="Q52" i="5"/>
  <c r="Q37" i="5"/>
  <c r="Q40" i="5"/>
  <c r="K56" i="5"/>
  <c r="I50" i="5"/>
  <c r="K51" i="5"/>
  <c r="K52" i="5"/>
  <c r="H50" i="5"/>
  <c r="H54" i="5"/>
  <c r="Q53" i="5"/>
  <c r="Q63" i="5"/>
  <c r="Q61" i="5" s="1"/>
  <c r="P61" i="5"/>
  <c r="K65" i="5"/>
  <c r="Q26" i="5"/>
  <c r="P30" i="5"/>
  <c r="P24" i="5" s="1"/>
  <c r="K31" i="5"/>
  <c r="K30" i="5" s="1"/>
  <c r="K44" i="5"/>
  <c r="K48" i="5"/>
  <c r="P50" i="5"/>
  <c r="I55" i="5"/>
  <c r="I54" i="5" s="1"/>
  <c r="Q59" i="5"/>
  <c r="K62" i="5"/>
  <c r="P65" i="5"/>
  <c r="H36" i="5"/>
  <c r="Q36" i="5" s="1"/>
  <c r="F50" i="5"/>
  <c r="L50" i="5"/>
  <c r="L47" i="5" s="1"/>
  <c r="L23" i="5" s="1"/>
  <c r="L68" i="5" s="1"/>
  <c r="F54" i="5"/>
  <c r="I63" i="5"/>
  <c r="I64" i="5"/>
  <c r="K64" i="5" s="1"/>
  <c r="I60" i="5"/>
  <c r="I58" i="5" s="1"/>
  <c r="I24" i="5" l="1"/>
  <c r="Q10" i="1"/>
  <c r="P4" i="1"/>
  <c r="Q30" i="5"/>
  <c r="K42" i="5"/>
  <c r="K41" i="5" s="1"/>
  <c r="H41" i="5"/>
  <c r="Q41" i="5"/>
  <c r="H47" i="5"/>
  <c r="Q35" i="5"/>
  <c r="Q24" i="5"/>
  <c r="Q58" i="5"/>
  <c r="K55" i="5"/>
  <c r="K54" i="5" s="1"/>
  <c r="K60" i="5"/>
  <c r="K58" i="5" s="1"/>
  <c r="Q54" i="5"/>
  <c r="K24" i="5"/>
  <c r="I47" i="5"/>
  <c r="K50" i="5"/>
  <c r="F47" i="5"/>
  <c r="F23" i="5" s="1"/>
  <c r="F68" i="5" s="1"/>
  <c r="K73" i="5"/>
  <c r="I61" i="5"/>
  <c r="K63" i="5"/>
  <c r="K61" i="5" s="1"/>
  <c r="Q65" i="5"/>
  <c r="P47" i="5"/>
  <c r="P23" i="5" s="1"/>
  <c r="P68" i="5" s="1"/>
  <c r="Q50" i="5"/>
  <c r="K36" i="5"/>
  <c r="K35" i="5" s="1"/>
  <c r="H35" i="5"/>
  <c r="H23" i="5" l="1"/>
  <c r="H68" i="5" s="1"/>
  <c r="I82" i="5" s="1"/>
  <c r="Q4" i="1"/>
  <c r="P32" i="1"/>
  <c r="Q47" i="5"/>
  <c r="Q23" i="5" s="1"/>
  <c r="Q68" i="5" s="1"/>
  <c r="K70" i="5"/>
  <c r="I23" i="5"/>
  <c r="I68" i="5" s="1"/>
  <c r="K47" i="5"/>
  <c r="K23" i="5" s="1"/>
  <c r="K68" i="5" s="1"/>
  <c r="P57" i="1" l="1"/>
  <c r="Q32" i="1"/>
  <c r="K71" i="5"/>
  <c r="K72" i="5" s="1"/>
  <c r="Q57" i="1" l="1"/>
  <c r="K32" i="3"/>
  <c r="G32" i="3"/>
  <c r="L32" i="3" s="1"/>
  <c r="L31" i="3"/>
  <c r="K31" i="3"/>
  <c r="G31" i="3"/>
  <c r="K30" i="3"/>
  <c r="L30" i="3" s="1"/>
  <c r="G30" i="3"/>
  <c r="K29" i="3"/>
  <c r="G29" i="3"/>
  <c r="L29" i="3" s="1"/>
  <c r="K28" i="3"/>
  <c r="G28" i="3"/>
  <c r="L28" i="3" s="1"/>
  <c r="L27" i="3"/>
  <c r="K27" i="3"/>
  <c r="G27" i="3"/>
  <c r="K26" i="3"/>
  <c r="L26" i="3" s="1"/>
  <c r="G26" i="3"/>
  <c r="K25" i="3"/>
  <c r="G25" i="3"/>
  <c r="L25" i="3" s="1"/>
  <c r="K24" i="3"/>
  <c r="K23" i="3" s="1"/>
  <c r="G24" i="3"/>
  <c r="L24" i="3" s="1"/>
  <c r="J23" i="3"/>
  <c r="J33" i="3" s="1"/>
  <c r="I23" i="3"/>
  <c r="I33" i="3" s="1"/>
  <c r="H23" i="3"/>
  <c r="H33" i="3" s="1"/>
  <c r="F23" i="3"/>
  <c r="E23" i="3"/>
  <c r="D23" i="3"/>
  <c r="D33" i="3" s="1"/>
  <c r="K22" i="3"/>
  <c r="G22" i="3"/>
  <c r="L22" i="3" s="1"/>
  <c r="L21" i="3"/>
  <c r="K21" i="3"/>
  <c r="G21" i="3"/>
  <c r="K20" i="3"/>
  <c r="L20" i="3" s="1"/>
  <c r="G20" i="3"/>
  <c r="K19" i="3"/>
  <c r="G19" i="3"/>
  <c r="L19" i="3" s="1"/>
  <c r="K18" i="3"/>
  <c r="G18" i="3"/>
  <c r="L18" i="3" s="1"/>
  <c r="L17" i="3"/>
  <c r="K17" i="3"/>
  <c r="G17" i="3"/>
  <c r="K16" i="3"/>
  <c r="J16" i="3"/>
  <c r="I16" i="3"/>
  <c r="H16" i="3"/>
  <c r="G16" i="3"/>
  <c r="L16" i="3" s="1"/>
  <c r="F16" i="3"/>
  <c r="E16" i="3"/>
  <c r="D16" i="3"/>
  <c r="L15" i="3"/>
  <c r="K15" i="3"/>
  <c r="G15" i="3"/>
  <c r="K14" i="3"/>
  <c r="L14" i="3" s="1"/>
  <c r="G14" i="3"/>
  <c r="K13" i="3"/>
  <c r="G13" i="3"/>
  <c r="L13" i="3" s="1"/>
  <c r="K12" i="3"/>
  <c r="G12" i="3"/>
  <c r="L12" i="3" s="1"/>
  <c r="L11" i="3"/>
  <c r="K11" i="3"/>
  <c r="G11" i="3"/>
  <c r="K10" i="3"/>
  <c r="K9" i="3" s="1"/>
  <c r="G10" i="3"/>
  <c r="J9" i="3"/>
  <c r="I9" i="3"/>
  <c r="H9" i="3"/>
  <c r="F9" i="3"/>
  <c r="F33" i="3" s="1"/>
  <c r="E9" i="3"/>
  <c r="E33" i="3" s="1"/>
  <c r="D9" i="3"/>
  <c r="H4" i="3"/>
  <c r="K33" i="3" l="1"/>
  <c r="G9" i="3"/>
  <c r="G23" i="3"/>
  <c r="L23" i="3" s="1"/>
  <c r="L10" i="3"/>
  <c r="G33" i="3" l="1"/>
  <c r="L36" i="3" s="1"/>
  <c r="L9" i="3"/>
  <c r="L33" i="3" s="1"/>
  <c r="L37" i="3" s="1"/>
  <c r="E133" i="2" l="1"/>
  <c r="F171" i="2" l="1"/>
  <c r="F157" i="2"/>
  <c r="F158" i="2"/>
  <c r="F155" i="2"/>
  <c r="F156" i="2"/>
  <c r="E13" i="2"/>
  <c r="I155" i="2"/>
  <c r="E152" i="2" l="1"/>
  <c r="F170" i="2"/>
  <c r="F172" i="2" s="1"/>
  <c r="S14" i="1"/>
  <c r="T14" i="1" s="1"/>
  <c r="U14" i="1" s="1"/>
  <c r="S7" i="1"/>
  <c r="T7" i="1" s="1"/>
  <c r="U7" i="1" s="1"/>
  <c r="S15" i="1"/>
  <c r="T15" i="1" s="1"/>
  <c r="U15" i="1" s="1"/>
  <c r="S6" i="1"/>
  <c r="T6" i="1" s="1"/>
  <c r="U6" i="1" s="1"/>
  <c r="S8" i="1"/>
  <c r="T8" i="1" s="1"/>
  <c r="U8" i="1" s="1"/>
  <c r="S10" i="1"/>
  <c r="T10" i="1" s="1"/>
  <c r="U10" i="1" s="1"/>
  <c r="S47" i="1"/>
  <c r="T47" i="1" s="1"/>
  <c r="U47" i="1" s="1"/>
  <c r="S20" i="1"/>
  <c r="T20" i="1" s="1"/>
  <c r="U20" i="1" s="1"/>
  <c r="S16" i="1"/>
  <c r="T16" i="1" s="1"/>
  <c r="U16" i="1" s="1"/>
  <c r="S9" i="1"/>
  <c r="T9" i="1" s="1"/>
  <c r="U9" i="1" s="1"/>
  <c r="S22" i="1"/>
  <c r="T22" i="1" s="1"/>
  <c r="U22" i="1" s="1"/>
  <c r="S38" i="1"/>
  <c r="T38" i="1" s="1"/>
  <c r="U38" i="1" s="1"/>
  <c r="S23" i="1"/>
  <c r="T23" i="1" s="1"/>
  <c r="U23" i="1" s="1"/>
  <c r="S21" i="1"/>
  <c r="T21" i="1" s="1"/>
  <c r="U21" i="1" s="1"/>
  <c r="S35" i="1"/>
  <c r="T35" i="1" s="1"/>
  <c r="U35" i="1" s="1"/>
  <c r="S34" i="1"/>
  <c r="T34" i="1" s="1"/>
  <c r="U34" i="1" s="1"/>
  <c r="S24" i="1"/>
  <c r="T24" i="1" s="1"/>
  <c r="U24" i="1" s="1"/>
  <c r="S43" i="1"/>
  <c r="T43" i="1" s="1"/>
  <c r="U43" i="1" s="1"/>
  <c r="S17" i="1"/>
  <c r="T17" i="1" s="1"/>
  <c r="U17" i="1" s="1"/>
  <c r="S18" i="1"/>
  <c r="T18" i="1" s="1"/>
  <c r="U18" i="1" s="1"/>
  <c r="S19" i="1"/>
  <c r="T19" i="1" s="1"/>
  <c r="U19" i="1" s="1"/>
  <c r="S13" i="1"/>
  <c r="S36" i="1"/>
  <c r="T36" i="1" s="1"/>
  <c r="U36" i="1" s="1"/>
  <c r="S26" i="1"/>
  <c r="T26" i="1" s="1"/>
  <c r="U26" i="1" s="1"/>
  <c r="S5" i="1"/>
  <c r="T5" i="1" s="1"/>
  <c r="U5" i="1" s="1"/>
  <c r="S12" i="1"/>
  <c r="T12" i="1" s="1"/>
  <c r="U12" i="1" s="1"/>
  <c r="S52" i="1"/>
  <c r="T52" i="1" s="1"/>
  <c r="U52" i="1" s="1"/>
  <c r="S28" i="1"/>
  <c r="T28" i="1" s="1"/>
  <c r="U28" i="1" s="1"/>
  <c r="S11" i="1" l="1"/>
  <c r="S4" i="1" s="1"/>
  <c r="S32" i="1" s="1"/>
  <c r="T13" i="1"/>
  <c r="U13" i="1" s="1"/>
  <c r="T11" i="1" l="1"/>
  <c r="T4" i="1" s="1"/>
  <c r="T32" i="1" s="1"/>
  <c r="E18" i="2" s="1"/>
  <c r="E17" i="2" s="1"/>
  <c r="E26" i="2" s="1"/>
  <c r="F174" i="2" s="1"/>
  <c r="U11" i="1"/>
  <c r="U4" i="1" s="1"/>
  <c r="U32" i="1" s="1"/>
  <c r="U57" i="1" s="1"/>
  <c r="E23" i="2" l="1"/>
</calcChain>
</file>

<file path=xl/comments1.xml><?xml version="1.0" encoding="utf-8"?>
<comments xmlns="http://schemas.openxmlformats.org/spreadsheetml/2006/main">
  <authors>
    <author>Аверина</author>
  </authors>
  <commentLis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>Аверина:</t>
        </r>
        <r>
          <rPr>
            <sz val="9"/>
            <color indexed="81"/>
            <rFont val="Tahoma"/>
            <family val="2"/>
            <charset val="204"/>
          </rPr>
          <t xml:space="preserve">
форма 2.8_2015</t>
        </r>
      </text>
    </comment>
    <comment ref="E149" authorId="0">
      <text>
        <r>
          <rPr>
            <b/>
            <sz val="9"/>
            <color indexed="81"/>
            <rFont val="Tahoma"/>
            <family val="2"/>
            <charset val="204"/>
          </rPr>
          <t>Аверина:</t>
        </r>
        <r>
          <rPr>
            <sz val="9"/>
            <color indexed="81"/>
            <rFont val="Tahoma"/>
            <family val="2"/>
            <charset val="204"/>
          </rPr>
          <t xml:space="preserve">
форма 2.8. за 2015</t>
        </r>
      </text>
    </comment>
  </commentList>
</comments>
</file>

<file path=xl/comments2.xml><?xml version="1.0" encoding="utf-8"?>
<comments xmlns="http://schemas.openxmlformats.org/spreadsheetml/2006/main">
  <authors>
    <author>Аверина</author>
  </authors>
  <commentList>
    <comment ref="P34" authorId="0">
      <text>
        <r>
          <rPr>
            <b/>
            <sz val="9"/>
            <color indexed="81"/>
            <rFont val="Tahoma"/>
            <family val="2"/>
            <charset val="204"/>
          </rPr>
          <t>Аверина:</t>
        </r>
        <r>
          <rPr>
            <sz val="9"/>
            <color indexed="81"/>
            <rFont val="Tahoma"/>
            <family val="2"/>
            <charset val="204"/>
          </rPr>
          <t xml:space="preserve">
тест логистик выставили меньше и не стали исправлять</t>
        </r>
      </text>
    </comment>
  </commentList>
</comments>
</file>

<file path=xl/comments3.xml><?xml version="1.0" encoding="utf-8"?>
<comments xmlns="http://schemas.openxmlformats.org/spreadsheetml/2006/main">
  <authors>
    <author>Автор</author>
    <author>Аверина</author>
  </authors>
  <commentList>
    <comment ref="A11" authorId="0">
      <text>
        <r>
          <rPr>
            <b/>
            <sz val="9"/>
            <color indexed="81"/>
            <rFont val="Tahoma"/>
            <family val="2"/>
            <charset val="204"/>
          </rPr>
          <t>Автор:
49 м/м</t>
        </r>
      </text>
    </comment>
    <comment ref="I26" authorId="1">
      <text>
        <r>
          <rPr>
            <b/>
            <sz val="9"/>
            <color indexed="81"/>
            <rFont val="Tahoma"/>
            <family val="2"/>
            <charset val="204"/>
          </rPr>
          <t>Аверина:</t>
        </r>
        <r>
          <rPr>
            <sz val="9"/>
            <color indexed="81"/>
            <rFont val="Tahoma"/>
            <family val="2"/>
            <charset val="204"/>
          </rPr>
          <t xml:space="preserve">
Петров О.А. планировал 180683 руб., но данные так и не поступили</t>
        </r>
      </text>
    </comment>
    <comment ref="N26" authorId="1">
      <text>
        <r>
          <rPr>
            <b/>
            <sz val="9"/>
            <color indexed="81"/>
            <rFont val="Tahoma"/>
            <family val="2"/>
            <charset val="204"/>
          </rPr>
          <t>Аверина:</t>
        </r>
        <r>
          <rPr>
            <sz val="9"/>
            <color indexed="81"/>
            <rFont val="Tahoma"/>
            <family val="2"/>
            <charset val="204"/>
          </rPr>
          <t xml:space="preserve">
от Петрова О.А. данные так и не поступили</t>
        </r>
      </text>
    </comment>
    <comment ref="L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+стойка ресепшн</t>
        </r>
      </text>
    </comment>
    <comment ref="B4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2% от общ.стоимости - 371,82
</t>
        </r>
      </text>
    </comment>
    <comment ref="B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53% от общ.стоимости - 9800</t>
        </r>
      </text>
    </comment>
    <comment ref="B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45% от общ.стоимости - 3346,47</t>
        </r>
      </text>
    </comment>
    <comment ref="B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(айтстаффинг: дворник)</t>
        </r>
      </text>
    </comment>
    <comment ref="L5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15,6 и 13 - артклин, договор № 18 на доп уборку паркинга</t>
        </r>
      </text>
    </comment>
    <comment ref="L5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40-см на 31.10_фактУУ</t>
        </r>
      </text>
    </comment>
    <comment ref="B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(айтстаффинг: дворник)</t>
        </r>
      </text>
    </comment>
    <comment ref="M5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+6,5 арт клин</t>
        </r>
      </text>
    </comment>
    <comment ref="O5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31-уборщ</t>
        </r>
      </text>
    </comment>
    <comment ref="L5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11 - мото, 40-см на 31.10_фактУУ</t>
        </r>
      </text>
    </comment>
    <comment ref="M6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+25 000-прочие голдобова договор подряда</t>
        </r>
      </text>
    </comment>
    <comment ref="L6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накл+фот упр</t>
        </r>
      </text>
    </comment>
  </commentList>
</comments>
</file>

<file path=xl/sharedStrings.xml><?xml version="1.0" encoding="utf-8"?>
<sst xmlns="http://schemas.openxmlformats.org/spreadsheetml/2006/main" count="861" uniqueCount="413">
  <si>
    <t>Начисления по статьям</t>
  </si>
  <si>
    <t>Название услуги</t>
  </si>
  <si>
    <t>01.2016</t>
  </si>
  <si>
    <t>02.2016</t>
  </si>
  <si>
    <t>03.2016</t>
  </si>
  <si>
    <t>04.2016</t>
  </si>
  <si>
    <t>05.2016</t>
  </si>
  <si>
    <t>06.2016</t>
  </si>
  <si>
    <t>07.2016</t>
  </si>
  <si>
    <t>08.2016</t>
  </si>
  <si>
    <t>09.2016</t>
  </si>
  <si>
    <t>10.2016</t>
  </si>
  <si>
    <t>11.2016</t>
  </si>
  <si>
    <t>12.2016</t>
  </si>
  <si>
    <t>Водоотведение ГВ (индивидуальное потребление)</t>
  </si>
  <si>
    <t>Круглосуточная служба диспетчер-консьерж</t>
  </si>
  <si>
    <t>Сод. придом.территории</t>
  </si>
  <si>
    <t>Аварийное обслуживание внутридомовых инженерных систем общего пользования</t>
  </si>
  <si>
    <t>Электроэнергия день (индивидуальное потребление)</t>
  </si>
  <si>
    <t>Содержание и ремонт АППЗ</t>
  </si>
  <si>
    <t>Профилактическая дератизация</t>
  </si>
  <si>
    <t>Уборка паркинга</t>
  </si>
  <si>
    <t>Электроэнергия ночь (общедомовые нужды)</t>
  </si>
  <si>
    <t>Радио</t>
  </si>
  <si>
    <t>Холодная вода (общедомовые нужды)</t>
  </si>
  <si>
    <t>Содержание и ремонт лифтов</t>
  </si>
  <si>
    <t>Электроэнергия день (общедомовые нужды)</t>
  </si>
  <si>
    <t>Обслуживание приборов учета</t>
  </si>
  <si>
    <t>Техническое обслуживание системы вентиляции</t>
  </si>
  <si>
    <t>Тепловая энергия на подогрев воды (индивидуальное потребление)</t>
  </si>
  <si>
    <t>Техническое обслуживание карусельных дверей</t>
  </si>
  <si>
    <t>Уборка холла, лестниц и иных МОП</t>
  </si>
  <si>
    <t>Содержание и текущий ремонт внутридомовых инженерных систем (ЭО, ЭС)</t>
  </si>
  <si>
    <t>Водоотведение ХВ (индивидуальное потребление)</t>
  </si>
  <si>
    <t>Содержание и текущий ремонт внутридомовых инженерных систем (ВК, oтoплeниe)</t>
  </si>
  <si>
    <t>Управление многоквартирным домом</t>
  </si>
  <si>
    <t>Горячая вода (индивидуальное потребление)</t>
  </si>
  <si>
    <t>Вывоз и утилизация мусора</t>
  </si>
  <si>
    <t>Пени</t>
  </si>
  <si>
    <t>Обслуживание внутридомовых инженерных систем</t>
  </si>
  <si>
    <t>Обслуживание ворот паркинга</t>
  </si>
  <si>
    <t>Электричество однотарифный (общедомовые нужды)</t>
  </si>
  <si>
    <t>Круглосуточная служба охраны общего имущества</t>
  </si>
  <si>
    <t>Управление паркингом в многоквартирным доме</t>
  </si>
  <si>
    <t>Услуги PЦ</t>
  </si>
  <si>
    <t>Отопление</t>
  </si>
  <si>
    <t>Санитарное содержание мест общего пользования</t>
  </si>
  <si>
    <t>отопление ОДН</t>
  </si>
  <si>
    <t>Техническое обслуживание ОДС</t>
  </si>
  <si>
    <t>Обсл ИТП</t>
  </si>
  <si>
    <t>Холодная вода (индивидуальное потребление)</t>
  </si>
  <si>
    <t>N пп формы</t>
  </si>
  <si>
    <t>Наименование параметра</t>
  </si>
  <si>
    <t>Единица измерения</t>
  </si>
  <si>
    <t>Информация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</si>
  <si>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</si>
  <si>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</si>
  <si>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</si>
  <si>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</si>
  <si>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</si>
  <si>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</si>
  <si>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</si>
  <si>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</si>
  <si>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</si>
  <si>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содержанию, текущему ремонту и управлению,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</si>
  <si>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</si>
  <si>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</si>
  <si>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</si>
  <si>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 за оказание услуг по содержанию, текущему ремонту общего имущества и управлению в многоквартирном доме, в том числе: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</si>
  <si>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</si>
  <si>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</si>
  <si>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</si>
  <si>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</si>
  <si>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</si>
  <si>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</si>
  <si>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</si>
  <si>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за услуги (работы) по содержанию, текущему ремонту общего имущества и управлению в многоквартирном доме(на конец периода)</t>
  </si>
  <si>
    <t xml:space="preserve">Выполненные работы (оказанные услуги) по содержанию общего имущества и текущему ремонту в отчетном периоде </t>
  </si>
  <si>
    <t>21</t>
  </si>
  <si>
    <t>Наименование работ (услуг)</t>
  </si>
  <si>
    <t>Услуги по содержанию общего имущества в многоквартирном доме</t>
  </si>
  <si>
    <t>22</t>
  </si>
  <si>
    <t>Годовая фактическая стоимость работ (услуг)</t>
  </si>
  <si>
    <t>23</t>
  </si>
  <si>
    <t>Наименование работы (услуги)</t>
  </si>
  <si>
    <t>24</t>
  </si>
  <si>
    <t xml:space="preserve">Периодичность выполнения работы (услуги) </t>
  </si>
  <si>
    <t>1 раз в месяц (дополнительно по необходимости)</t>
  </si>
  <si>
    <t>25</t>
  </si>
  <si>
    <t>Единица измерения</t>
  </si>
  <si>
    <t>руб./год</t>
  </si>
  <si>
    <t>26</t>
  </si>
  <si>
    <t>Стоимость за единицу измерения (годовая)</t>
  </si>
  <si>
    <t>Исполнитель работ (услуг)</t>
  </si>
  <si>
    <t>ООО "УК"ЛЕГЕНДА КОМФОРТ"</t>
  </si>
  <si>
    <t>ООО "СЦ"Эльтон"</t>
  </si>
  <si>
    <t>ежедневно</t>
  </si>
  <si>
    <t>ООО "АртКлин"</t>
  </si>
  <si>
    <t>1 раз в месяц</t>
  </si>
  <si>
    <t>АО "Станция профилактической дезинфекции"</t>
  </si>
  <si>
    <t>ООО "Производственно-Коммерческая Фирма "Петро-Васт"</t>
  </si>
  <si>
    <t>ООО "Эльтон-Системс"</t>
  </si>
  <si>
    <t xml:space="preserve">круглосуточно </t>
  </si>
  <si>
    <t xml:space="preserve"> согласно плана/по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</si>
  <si>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</si>
  <si>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</si>
  <si>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</si>
  <si>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</si>
  <si>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</si>
  <si>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</si>
  <si>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</si>
  <si>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Задолженность потребителей (на конец периода)</t>
  </si>
  <si>
    <t>Информация о предоставленных коммунальных услугах (заполняется по каждой коммунальной услуге) &lt;*&gt;</t>
  </si>
  <si>
    <t>37-46</t>
  </si>
  <si>
    <t>Вид коммунальной услуги</t>
  </si>
  <si>
    <t>Общий объем потребления, нат. показ.</t>
  </si>
  <si>
    <t>Начислено потребителям, руб.</t>
  </si>
  <si>
    <t>Оплачено потребителями, руб.</t>
  </si>
  <si>
    <t>Задолженность потребителей, руб.</t>
  </si>
  <si>
    <t>Начислено поставщиком (поставщиками) коммунального ресурса, руб.</t>
  </si>
  <si>
    <t>Оплачено поставщику (поставщикам) коммунального ресурса, руб.</t>
  </si>
  <si>
    <t>Задолженность перед поставщиком (поставщиками) коммунального ресурса, руб.</t>
  </si>
  <si>
    <t>Размер пени и штрафов, уплаченные поставщику (поставщикам) коммунального ресурса, руб.</t>
  </si>
  <si>
    <t>Водоотведение
(оплата поставщику за дек.16 произведена в янв.17)</t>
  </si>
  <si>
    <t>Тепловая энергия
(оплата поставщику за дек.16 произведена в янв.17)</t>
  </si>
  <si>
    <t>Электроэнергия
(оплата поставщику за дек.16 произведена в янв.17)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</si>
  <si>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</si>
  <si>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</si>
  <si>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</si>
  <si>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</si>
  <si>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</si>
  <si>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начислено</t>
  </si>
  <si>
    <t>потрачено</t>
  </si>
  <si>
    <t>экономия (накопление, либо расходование в 2017 г.)</t>
  </si>
  <si>
    <t>Форма 2.8. Отчет об исполнении управляющей организацией договора управления многоквартрного дома, расположенного по адресу: г. Санкт-Петербург, ул. Победы, д.5, лит.А</t>
  </si>
  <si>
    <t>Холодное водоснабжение 
(оплата поставщику за дек.16 произведена в янв.17)</t>
  </si>
  <si>
    <t>Общие данные по дому</t>
  </si>
  <si>
    <t>Жилые помещения</t>
  </si>
  <si>
    <t>Нежилые помещения</t>
  </si>
  <si>
    <t>Автостоянка</t>
  </si>
  <si>
    <t>Площадь, кв.м.</t>
  </si>
  <si>
    <t>шт</t>
  </si>
  <si>
    <t>кв.м.</t>
  </si>
  <si>
    <t>с янв.16-апр.16 по тарифу 2015 г.</t>
  </si>
  <si>
    <t>с мая.16-дек.16 по тарифу 2016 г.</t>
  </si>
  <si>
    <t>№ п/п</t>
  </si>
  <si>
    <t>Услуги по содержанию, техническому обслуживанию и управлению многоквартирным домом по адресу: Санкт-Петербург, ул. Победы, дом 5, литера А</t>
  </si>
  <si>
    <t>Единицы измерения</t>
  </si>
  <si>
    <t>Итого, руб./мес.</t>
  </si>
  <si>
    <t>Итого,руб./мес.</t>
  </si>
  <si>
    <t>ИТОГО, руб./год</t>
  </si>
  <si>
    <t>Содержание общего имущества, в т.ч.:</t>
  </si>
  <si>
    <r>
      <t>рублей на м</t>
    </r>
    <r>
      <rPr>
        <b/>
        <sz val="11"/>
        <color indexed="8"/>
        <rFont val="Calibri"/>
        <family val="2"/>
        <charset val="204"/>
        <scheme val="minor"/>
      </rPr>
      <t>² / рублей за м-м</t>
    </r>
  </si>
  <si>
    <t>1.1</t>
  </si>
  <si>
    <t>рублей на м² / рублей за м-м</t>
  </si>
  <si>
    <t>1.2</t>
  </si>
  <si>
    <t>1.3</t>
  </si>
  <si>
    <t>1.4</t>
  </si>
  <si>
    <t>1.5</t>
  </si>
  <si>
    <t>1.6</t>
  </si>
  <si>
    <t>2</t>
  </si>
  <si>
    <t>2.1</t>
  </si>
  <si>
    <t>содержание и текущий ремонт внутридомовых инженерных систем (ВК, отопление)</t>
  </si>
  <si>
    <r>
      <t>рублей на м</t>
    </r>
    <r>
      <rPr>
        <sz val="11"/>
        <color indexed="8"/>
        <rFont val="Calibri"/>
        <family val="2"/>
        <charset val="204"/>
        <scheme val="minor"/>
      </rPr>
      <t>² / рублей за м-м</t>
    </r>
  </si>
  <si>
    <t>2.2</t>
  </si>
  <si>
    <t>содержание и текущий ремонт внутридомовых инженерных систем (ЭО, ЭС)</t>
  </si>
  <si>
    <t>2.3</t>
  </si>
  <si>
    <t>аварийное обслуживание внутридомовых инженерных систем общего пользования</t>
  </si>
  <si>
    <t>3</t>
  </si>
  <si>
    <t xml:space="preserve">Техническое обслуживание лифтов </t>
  </si>
  <si>
    <t>4</t>
  </si>
  <si>
    <t xml:space="preserve">Техническое обслуживание системы пожарной сигнализации, системы пожаротушения </t>
  </si>
  <si>
    <t>5</t>
  </si>
  <si>
    <t>Техническое обслуживание объединенных диспетчерских систем</t>
  </si>
  <si>
    <t>Санитарное содержание мест общего пользования, в т.ч.:</t>
  </si>
  <si>
    <t>6.1</t>
  </si>
  <si>
    <t>уборка холла, лестниц и иных мест общего пользования (МОП)</t>
  </si>
  <si>
    <t>6.2</t>
  </si>
  <si>
    <t>санитарное содержание придомовой территории</t>
  </si>
  <si>
    <t>6.3</t>
  </si>
  <si>
    <t>уборка паркинга</t>
  </si>
  <si>
    <t>6.4</t>
  </si>
  <si>
    <t>вывоз и утилизация мусора</t>
  </si>
  <si>
    <t>6.5</t>
  </si>
  <si>
    <t>профилактическая дератизация</t>
  </si>
  <si>
    <t>7</t>
  </si>
  <si>
    <t>8</t>
  </si>
  <si>
    <t>Текущий ремонт</t>
  </si>
  <si>
    <t>9</t>
  </si>
  <si>
    <t>Круглосуточная служба диспетчер-консъерж</t>
  </si>
  <si>
    <t>10</t>
  </si>
  <si>
    <r>
      <t>Управление домом</t>
    </r>
    <r>
      <rPr>
        <sz val="9.9"/>
        <color theme="1"/>
        <rFont val="Calibri"/>
        <family val="2"/>
        <charset val="204"/>
        <scheme val="minor"/>
      </rPr>
      <t xml:space="preserve">
(фонд оплаты труда административного и инженерного персонала с учетом установленных налогов и сборов, юридическое сопровождение, обучение и аттестация персонала, оплата услуг: телефонной связи, банка, тех. сопровождения бухгалтерских программ, web-сайта).</t>
    </r>
  </si>
  <si>
    <t>ИТОГО</t>
  </si>
  <si>
    <t>доля</t>
  </si>
  <si>
    <t>Итого, кв.м.</t>
  </si>
  <si>
    <t xml:space="preserve">Исполнение плана расходов по Победы, 5 за 2016 г. на 31.12.2016 </t>
  </si>
  <si>
    <t>Наименование услуги</t>
  </si>
  <si>
    <t>Контрагент</t>
  </si>
  <si>
    <t>Договор</t>
  </si>
  <si>
    <t>Сумма по договору, руб./мес.</t>
  </si>
  <si>
    <t>План по тарифу, с учетом повышения с 01.05.16 руб./год</t>
  </si>
  <si>
    <t>Перерасчет, руб.</t>
  </si>
  <si>
    <t>План по тарифу
(с учетом перерасчета), руб.</t>
  </si>
  <si>
    <t>Факт, руб./год</t>
  </si>
  <si>
    <t>Переходящий остаток с 2015 г.</t>
  </si>
  <si>
    <t>Остаток, руб./год</t>
  </si>
  <si>
    <t>янв.16-окт.16</t>
  </si>
  <si>
    <t>ноя.16</t>
  </si>
  <si>
    <t>дек.16</t>
  </si>
  <si>
    <t>Итого, руб.</t>
  </si>
  <si>
    <t>Экономия/
перерасход, руб./год</t>
  </si>
  <si>
    <t>Примечание</t>
  </si>
  <si>
    <t>утв. тариф с 01.05.16</t>
  </si>
  <si>
    <t>Жилые помещения, руб./кв.м</t>
  </si>
  <si>
    <t>Автостоянка, руб./м/м</t>
  </si>
  <si>
    <t>Нежилые помещения, руб./кв.м</t>
  </si>
  <si>
    <t>факт</t>
  </si>
  <si>
    <t>городской тариф</t>
  </si>
  <si>
    <t>СОДЕРЖАНИЕ</t>
  </si>
  <si>
    <t>Содержание общего имущества</t>
  </si>
  <si>
    <t>Обслуживание УУТЭ,ИТП, ПНС</t>
  </si>
  <si>
    <t>Д16-02/15 05-15 от 23.01.15</t>
  </si>
  <si>
    <t>Обслуживание системы контроля доступа и видеонаблюдения</t>
  </si>
  <si>
    <t>01-07/15 ТО от 01.07.15</t>
  </si>
  <si>
    <t>Техническое обслуживание и ремонт карусельных дверей</t>
  </si>
  <si>
    <t>Д10-01/15 С 15/10 от 01.03.15</t>
  </si>
  <si>
    <t xml:space="preserve">Д17-02/15 15/01 от 01.03.15 </t>
  </si>
  <si>
    <t>не обслуживает</t>
  </si>
  <si>
    <t>1.6.1.</t>
  </si>
  <si>
    <t>Обслуживание вентиляции и кондиционирования</t>
  </si>
  <si>
    <t>СЦ Эльтон</t>
  </si>
  <si>
    <t>Д13-01/15 60-01 от 15.01.15</t>
  </si>
  <si>
    <t>оплата поквартально</t>
  </si>
  <si>
    <t>1.6.2.</t>
  </si>
  <si>
    <t>Расходный материал для обслуживания системы вентиляции в паркинге</t>
  </si>
  <si>
    <t>расходный материал</t>
  </si>
  <si>
    <t>1.6.3.</t>
  </si>
  <si>
    <t>Расходный материал для обслуживание системы вентиляции</t>
  </si>
  <si>
    <t>№ 109/15-А от 03.03.15</t>
  </si>
  <si>
    <t>3.1</t>
  </si>
  <si>
    <t>Техническое обслуживание лифтов (ЖЧ)</t>
  </si>
  <si>
    <t>Д15-03/15 004-15.03-С от 01.03.15 + дс от 30.12.15</t>
  </si>
  <si>
    <t>3.2</t>
  </si>
  <si>
    <t>Техническое обслуживание лифтов (паркинг)</t>
  </si>
  <si>
    <t>3.3</t>
  </si>
  <si>
    <t>Периодическое ТО лифтов (ЖЧ)</t>
  </si>
  <si>
    <t>расходный материал, проверка соответствия</t>
  </si>
  <si>
    <t>3.4</t>
  </si>
  <si>
    <t>Периодическое ТО лифтов (паркинг)</t>
  </si>
  <si>
    <t>3.5</t>
  </si>
  <si>
    <t>Страхование гражданской ответственности организаций, эксплуатирующих опасные производственные объекты</t>
  </si>
  <si>
    <t>4.1</t>
  </si>
  <si>
    <t>АППЗ ВЧ</t>
  </si>
  <si>
    <t>Д11-01/15 61-01 от 15.01.15</t>
  </si>
  <si>
    <t>4.2</t>
  </si>
  <si>
    <t>АППЗ паркинга</t>
  </si>
  <si>
    <t>4.3</t>
  </si>
  <si>
    <t>АППЗ ЖЧ</t>
  </si>
  <si>
    <t>4.4</t>
  </si>
  <si>
    <t>Периодическое обслуживание АППЗ</t>
  </si>
  <si>
    <t>Д12-01/15/62-01/О от 15.01.15
ДС № 1 от 03.06.15</t>
  </si>
  <si>
    <t>стоимость по дог.увел.с 01.01.16,
тариф с 01.05.16</t>
  </si>
  <si>
    <t>ПВ 005322/15 от 01.02.15</t>
  </si>
  <si>
    <t>389,4 руб./куб.м.</t>
  </si>
  <si>
    <t>№321 от 26.02.15</t>
  </si>
  <si>
    <t>6.3.1.</t>
  </si>
  <si>
    <t>Убока паркинга</t>
  </si>
  <si>
    <t>АртКлин</t>
  </si>
  <si>
    <t>29 от 03.10.16 (60% от договора)</t>
  </si>
  <si>
    <t>расторжение с Бизнес Адмирал</t>
  </si>
  <si>
    <t>6.3.2.</t>
  </si>
  <si>
    <t>Расходные материалы</t>
  </si>
  <si>
    <t>29 от 03.10.16 (40% от суммы договора)</t>
  </si>
  <si>
    <t>Уборка холла, лестниц и иных мест общего пользования (МОП)</t>
  </si>
  <si>
    <t>6.5.1.</t>
  </si>
  <si>
    <t>Уборка МОП</t>
  </si>
  <si>
    <t>з/п уборщицы  25 тр (в т.ч. НДФЛ)+отчисления (30,2%)</t>
  </si>
  <si>
    <t>6.5.2.</t>
  </si>
  <si>
    <t>Инструменты, хоз.товары</t>
  </si>
  <si>
    <t>№1 от 26.02.15+д.с.1 от 27.03.15</t>
  </si>
  <si>
    <t>8.1</t>
  </si>
  <si>
    <t>Обслуживание систем</t>
  </si>
  <si>
    <t>з/п электрика  46 тр (в т.ч. НДФЛ)+отчисления (30,2%)</t>
  </si>
  <si>
    <t>8.2</t>
  </si>
  <si>
    <t>Инструменты, спец.одежда, обучение, расх.материал</t>
  </si>
  <si>
    <t>Содержание и текущий ремонт внутридомовых инженерных систем (ВК, отопление)</t>
  </si>
  <si>
    <t>9.1</t>
  </si>
  <si>
    <t>з/п сантехника  46 тр  (в т.ч. НДФЛ)+отчисления (30,2%)</t>
  </si>
  <si>
    <t>9.2.</t>
  </si>
  <si>
    <t>4 чел., зп диспетчера 28,75 тр(в т.ч.НДФЛ) + отчисления (30,2%)+доп.отработка на время отпуска 4 раз/год, 30 т.р. (ст.диспетчер)</t>
  </si>
  <si>
    <t>1</t>
  </si>
  <si>
    <t>Адресные накладные расходы дома</t>
  </si>
  <si>
    <t>ФОТ управляющего, канц.товары, моб.связь, кухня, мебель</t>
  </si>
  <si>
    <t>Распределяемы накладные расходы УК</t>
  </si>
  <si>
    <t>переходящие денежные средства</t>
  </si>
  <si>
    <t>будут отражены в отчете для собственников</t>
  </si>
  <si>
    <t>оставшиеся денежные средства</t>
  </si>
  <si>
    <t>содержание</t>
  </si>
  <si>
    <t>к освоению</t>
  </si>
  <si>
    <t>управление</t>
  </si>
  <si>
    <t>задолженность на 31.12.2016</t>
  </si>
  <si>
    <t>начисления за дек.16</t>
  </si>
  <si>
    <t>Расходы УК</t>
  </si>
  <si>
    <t>сравн с сводом</t>
  </si>
  <si>
    <t xml:space="preserve">Эксплуатация общедомовых приборов учета </t>
  </si>
  <si>
    <t>Обслуживание ИТП, ПНС, УУТЭ</t>
  </si>
  <si>
    <t>Техническое обслуживание системы автоматической пожарной сигнализации, системы пожаротушения</t>
  </si>
  <si>
    <t xml:space="preserve">Санитарное содержание придомовой территории </t>
  </si>
  <si>
    <t>Текущий ремонт общего имущества</t>
  </si>
  <si>
    <t>Текущий ремонт общего имущества в МКД</t>
  </si>
  <si>
    <t>Управление МКД</t>
  </si>
  <si>
    <t>АВГ</t>
  </si>
  <si>
    <t>ИЮЛ</t>
  </si>
  <si>
    <t>ИЮН</t>
  </si>
  <si>
    <t>35П</t>
  </si>
  <si>
    <t>Холодная вода</t>
  </si>
  <si>
    <t>Водоотведение</t>
  </si>
  <si>
    <t>Электроэнергия</t>
  </si>
  <si>
    <t>ПРОВЕРКИ</t>
  </si>
  <si>
    <t>Начислено</t>
  </si>
  <si>
    <t>Потрачено</t>
  </si>
  <si>
    <t>Остаток</t>
  </si>
  <si>
    <t>% для расчета оплаты</t>
  </si>
  <si>
    <t>Оплачено</t>
  </si>
  <si>
    <t>Потрачено/
оплачено</t>
  </si>
  <si>
    <t>[КОММУНАЛЬНЫЕ УСЛУГИ]</t>
  </si>
  <si>
    <t>Водоотведение_эксп</t>
  </si>
  <si>
    <t>Отопление_экспл</t>
  </si>
  <si>
    <t>Радио_экспл</t>
  </si>
  <si>
    <t>РКЦ</t>
  </si>
  <si>
    <t>Электроэнергия МОП</t>
  </si>
  <si>
    <t>Поступление товаров и услуг КОМ00000050 от 17.02.2016 11:37:46</t>
  </si>
  <si>
    <t>Поступление товаров и услуг КОМ00000066 от 29.02.2016 23:59:59</t>
  </si>
  <si>
    <t>Поступление товаров и услуг КОМ00000112 от 22.03.2016 17:56:07</t>
  </si>
  <si>
    <t>Поступление товаров и услуг КОМ00000138 от 20.04.2016 12:13:31</t>
  </si>
  <si>
    <t>Поступление товаров и услуг КОМ00000190 от 20.05.2016 15:55:55</t>
  </si>
  <si>
    <t>Поступление товаров и услуг КОМ00000245 от 28.06.2016 15:37:39</t>
  </si>
  <si>
    <t>Поступление товаров и услуг КОМ00000352 от 11.08.2016 16:39:59</t>
  </si>
  <si>
    <t>Поступление товаров и услуг КОМ00000382 от 08.09.2016 16:47:28</t>
  </si>
  <si>
    <t>Поступление товаров и услуг КОМ00000416 от 22.09.2016 13:22:21</t>
  </si>
  <si>
    <t>Поступление товаров и услуг КОМ00000454 от 14.10.2016 15:40:37</t>
  </si>
  <si>
    <t>Поступление товаров и услуг КОМ00000561 от 30.11.2016 23:59:59</t>
  </si>
  <si>
    <t>Поступление товаров и услуг КОМ00000584 от 09.12.2016 16:04:05</t>
  </si>
  <si>
    <t>Поступление товаров и услуг КОМ00000686 от 31.12.2016 23:59:59</t>
  </si>
  <si>
    <t>Поступление товаров и услуг КОМ00000049 от 16.02.2016 15:19:06</t>
  </si>
  <si>
    <t>Поступление товаров и услуг КОМ00000065 от 29.02.2016 23:59:59</t>
  </si>
  <si>
    <t>Поступление товаров и услуг КОМ00000111 от 22.03.2016 17:56:06</t>
  </si>
  <si>
    <t>Поступление товаров и услуг КОМ00000139 от 20.04.2016 12:16:18</t>
  </si>
  <si>
    <t>Поступление товаров и услуг КОМ00000189 от 20.05.2016 15:53:54</t>
  </si>
  <si>
    <t>Поступление товаров и услуг КОМ00000246 от 28.06.2016 15:39:57</t>
  </si>
  <si>
    <t>Поступление товаров и услуг КОМ00000351 от 11.08.2016 16:37:43</t>
  </si>
  <si>
    <t>Поступление товаров и услуг КОМ00000381 от 08.09.2016 16:19:46</t>
  </si>
  <si>
    <t>Поступление товаров и услуг КОМ00000417 от 22.09.2016 16:05:44</t>
  </si>
  <si>
    <t>Поступление товаров и услуг КОМ00000455 от 14.10.2016 15:42:43</t>
  </si>
  <si>
    <t>Поступление товаров и услуг КОМ00000560 от 30.11.2016 23:59:59</t>
  </si>
  <si>
    <t>Поступление товаров и услуг КОМ00000585 от 09.12.2016 16:04:06</t>
  </si>
  <si>
    <t>Поступление товаров и услуг КОМ00000687 от 31.12.2016 23:59:59</t>
  </si>
  <si>
    <t>Поступление товаров и услуг КОМ00000067 от 29.02.2016 23:59:59</t>
  </si>
  <si>
    <t>Поступление товаров и услуг КОМ00000140 от 20.04.2016 12:24:21</t>
  </si>
  <si>
    <t>Поступление товаров и услуг КОМ00000191 от 20.05.2016 15:59:42</t>
  </si>
  <si>
    <t>Поступление товаров и услуг КОМ00000211 от 31.05.2016 23:59:59</t>
  </si>
  <si>
    <t>Поступление товаров и услуг КОМ00000242 от 28.06.2016 13:42:22</t>
  </si>
  <si>
    <t>Поступление товаров и услуг КОМ00000353 от 12.08.2016 9:21:09</t>
  </si>
  <si>
    <t>Поступление товаров и услуг КОМ00000383 от 08.09.2016 16:50:56</t>
  </si>
  <si>
    <t>Поступление товаров и услуг КОМ00000405 от 19.09.2016 9:11:13</t>
  </si>
  <si>
    <t>Поступление товаров и услуг КОМ00000492 от 31.10.2016 23:59:59</t>
  </si>
  <si>
    <t>Поступление товаров и услуг КОМ00000557 от 30.11.2016 23:59:59</t>
  </si>
  <si>
    <t>Поступление товаров и услуг КОМ00000659 от 30.12.2016 23:59:59</t>
  </si>
  <si>
    <t>Поступление товаров и услуг КОМ00000688 от 31.12.2016 23:59:59</t>
  </si>
  <si>
    <t>ООО "Энергопульс-сервис"</t>
  </si>
  <si>
    <t>ООО "НеваИнвестСтрой"</t>
  </si>
  <si>
    <t>ООО "АРТ-Сервис"</t>
  </si>
  <si>
    <t>ЗАО "ГУДВИЛЛ"</t>
  </si>
  <si>
    <t>ООО "Содружество"</t>
  </si>
  <si>
    <t>ООО "Штейн Сервис"</t>
  </si>
  <si>
    <t>ООО "ОП "ЛВБ-Мониторинг-А"</t>
  </si>
  <si>
    <t>АО "ТЭМ"</t>
  </si>
  <si>
    <t>ООО "СЦ"Эльтон", ООО "Группа Компаний "РТМК"</t>
  </si>
  <si>
    <t>ООО "Содружество", ООО "УК"ЛЕГЕНДА КОМФОРТ"</t>
  </si>
  <si>
    <t>ООО "Штейн Сервис", ООО "Группа Ренессанс Страхование", ООО "Инженерный центр КПЛ"</t>
  </si>
  <si>
    <t>ООО "АртКлин", ООО "Бизнес-Адмирал", ООО "Группа Компаний "РТМК"</t>
  </si>
  <si>
    <t>Вывоз и утилизация твердых бытовых отходов</t>
  </si>
  <si>
    <t>общ зад-ть</t>
  </si>
  <si>
    <t>по необходимости</t>
  </si>
  <si>
    <t>1 раз в квартал (дополнительно по необходимости)</t>
  </si>
  <si>
    <t>ООО "УК"ЛЕГЕНДА КОМФОРТ", ООО "Чистая Компания Северо-Запада"</t>
  </si>
  <si>
    <t>Оплата светильников в паркинг (2 шт.), лампы (25 шт.)</t>
  </si>
  <si>
    <t>Группа Компаний "РТМК", ООО</t>
  </si>
  <si>
    <t>Без договора рн 15870</t>
  </si>
  <si>
    <t>Оплата сменного фильтра для системы вентиляции (6шт.) и замена реле контроля фаз для ОДС по причине поломки</t>
  </si>
  <si>
    <t>Оплата материала для модернизации системы вентиляции</t>
  </si>
  <si>
    <t>Сч.268 от 26.10.16</t>
  </si>
  <si>
    <t>Оплата инструментов и оборудования для обслуживания дома (перфоратор, пила, лампы, инструмент)/перерасход по статье инструментарий 13 088,45</t>
  </si>
  <si>
    <t>Счет 269 от 26.10.16</t>
  </si>
  <si>
    <t xml:space="preserve">Перерасход за дек.16 на расходы на Э_Победы 5 и Э_Оптиков 34 </t>
  </si>
  <si>
    <t>Иванова Светлана Михайловна</t>
  </si>
  <si>
    <t>Расходы на Э_Победы 5 и Э_Оптиков 34</t>
  </si>
  <si>
    <t>Хоз.расходы на Э_Победы 5 и Э_Оптиков 34</t>
  </si>
  <si>
    <t>Оплата инструментов, лампы (тек.ремонт)</t>
  </si>
  <si>
    <t>Комус-Петербург, ООО</t>
  </si>
  <si>
    <t>1773346 от 31.03.15</t>
  </si>
  <si>
    <t>Оплата карт доступа для СКУД для сотрудников (50 шт.)</t>
  </si>
  <si>
    <t>НеваИнвестСтрой, ООО</t>
  </si>
  <si>
    <t>Счет 60 от 16.06.16</t>
  </si>
  <si>
    <t>Оплата товара для ремонта канализационного стояка</t>
  </si>
  <si>
    <t>Паскаль-Трейд, ООО</t>
  </si>
  <si>
    <t>Счет 3462 от 26.04.16</t>
  </si>
  <si>
    <t>Расходы на Э_Победы 5</t>
  </si>
  <si>
    <t xml:space="preserve">Потемкин Антон Валерьевич </t>
  </si>
  <si>
    <t>Итого</t>
  </si>
  <si>
    <t>-восстановление электроосвещения в МОП  (ООО "Группа Компаний "РТМК")
-тех.обслуживание и замена фильтов системы вентиляции
-тех.обслуживание системы ОДС
-ремонт системы канализации</t>
  </si>
  <si>
    <t>-прочие поступления за оказание услуг по содержанию и текущему ремонту общего имущества в многоквартирном доме</t>
  </si>
  <si>
    <t xml:space="preserve">ПРИЛОЖЕНИЕ № 1.1 
к бюллетеню для голосования 
на очередном общем собрании собственников 
    помещений многоквартирного дома  по адресу:
г. Санкт-Петербург, ул. Победы, дом 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</si>
</sst>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_р_._-;\-* #,##0_р_._-;_-* &quot;-&quot;_р_._-;_-@_-"/>
    <numFmt numFmtId="165" formatCode="_-* #,##0_р_._-;\-* #,##0_р_._-;_-* &quot;-&quot;??_р_._-;_-@_-"/>
    <numFmt numFmtId="166" formatCode="_-* #,##0.00_р_._-;\-* #,##0.00_р_._-;_-* &quot;-&quot;??_р_._-;_-@_-"/>
    <numFmt numFmtId="167" formatCode="#,##0.00_р_."/>
    <numFmt numFmtId="168" formatCode="_-* #,##0.00_р_._-;\-* #,##0.00_р_._-;_-* &quot;-&quot;_р_._-;_-@_-"/>
    <numFmt numFmtId="169" formatCode="#,##0.00;[Red]\-#,##0.0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Arial"/>
      <family val="2"/>
    </font>
    <font>
      <b/>
      <sz val="10"/>
      <color indexed="21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9.9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color rgb="FFC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2"/>
      <color rgb="FFC00000"/>
      <name val="Arial"/>
      <family val="2"/>
      <charset val="204"/>
    </font>
    <font>
      <sz val="12"/>
      <color rgb="FFC00000"/>
      <name val="Arial"/>
      <family val="2"/>
      <charset val="204"/>
    </font>
    <font>
      <sz val="11"/>
      <name val="Arial"/>
      <family val="2"/>
      <charset val="204"/>
    </font>
    <font>
      <sz val="11"/>
      <color rgb="FFC00000"/>
      <name val="Arial"/>
      <family val="2"/>
      <charset val="204"/>
    </font>
    <font>
      <sz val="10"/>
      <name val="Calibri"/>
      <family val="2"/>
      <scheme val="minor"/>
    </font>
    <font>
      <sz val="10"/>
      <color rgb="FFC00000"/>
      <name val="Calibri"/>
      <family val="2"/>
      <scheme val="minor"/>
    </font>
    <font>
      <sz val="12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indexed="21"/>
      <name val="Arial"/>
      <family val="2"/>
    </font>
    <font>
      <sz val="6"/>
      <color indexed="21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charset val="204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u/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Verdan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51"/>
        <bgColor indexed="64"/>
      </patternFill>
    </fill>
  </fills>
  <borders count="4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dotted">
        <color theme="0" tint="-0.499984740745262"/>
      </left>
      <right/>
      <top style="thin">
        <color theme="0" tint="-0.499984740745262"/>
      </top>
      <bottom/>
      <diagonal/>
    </border>
    <border>
      <left/>
      <right style="dotted">
        <color theme="0" tint="-0.499984740745262"/>
      </right>
      <top style="thin">
        <color theme="0" tint="-0.499984740745262"/>
      </top>
      <bottom/>
      <diagonal/>
    </border>
    <border>
      <left/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hair">
        <color indexed="22"/>
      </left>
      <right style="thin">
        <color indexed="22"/>
      </right>
      <top style="hair">
        <color indexed="22"/>
      </top>
      <bottom/>
      <diagonal/>
    </border>
    <border>
      <left style="thin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/>
      <top/>
      <bottom/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5">
    <xf numFmtId="0" fontId="0" fillId="0" borderId="0"/>
    <xf numFmtId="0" fontId="9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49" fillId="0" borderId="0">
      <alignment horizontal="center" vertical="top"/>
    </xf>
    <xf numFmtId="0" fontId="50" fillId="0" borderId="0">
      <alignment horizontal="left" vertical="top"/>
    </xf>
    <xf numFmtId="0" fontId="51" fillId="0" borderId="0">
      <alignment horizontal="right" vertical="top"/>
    </xf>
    <xf numFmtId="0" fontId="51" fillId="0" borderId="0">
      <alignment horizontal="right" vertical="top"/>
    </xf>
    <xf numFmtId="0" fontId="52" fillId="0" borderId="0">
      <alignment horizontal="right" vertical="top"/>
    </xf>
    <xf numFmtId="0" fontId="52" fillId="0" borderId="0">
      <alignment horizontal="right" vertical="top"/>
    </xf>
    <xf numFmtId="0" fontId="52" fillId="0" borderId="0">
      <alignment horizontal="right" vertical="top"/>
    </xf>
    <xf numFmtId="0" fontId="50" fillId="0" borderId="0">
      <alignment horizontal="center" vertical="top"/>
    </xf>
    <xf numFmtId="0" fontId="53" fillId="0" borderId="0">
      <alignment horizontal="center" vertical="top"/>
    </xf>
    <xf numFmtId="0" fontId="51" fillId="0" borderId="0">
      <alignment horizontal="left" vertical="top"/>
    </xf>
    <xf numFmtId="0" fontId="50" fillId="0" borderId="0">
      <alignment horizontal="right" vertical="top"/>
    </xf>
    <xf numFmtId="0" fontId="54" fillId="0" borderId="0">
      <alignment horizontal="left" vertical="top"/>
    </xf>
    <xf numFmtId="0" fontId="54" fillId="0" borderId="0">
      <alignment horizontal="right" vertical="top"/>
    </xf>
    <xf numFmtId="0" fontId="52" fillId="0" borderId="0">
      <alignment horizontal="right" vertical="top"/>
    </xf>
    <xf numFmtId="0" fontId="52" fillId="0" borderId="0">
      <alignment horizontal="right" vertical="top"/>
    </xf>
    <xf numFmtId="0" fontId="1" fillId="0" borderId="0"/>
    <xf numFmtId="0" fontId="18" fillId="0" borderId="0"/>
    <xf numFmtId="0" fontId="55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89">
    <xf numFmtId="0" fontId="0" fillId="0" borderId="0" xfId="0"/>
    <xf numFmtId="4" fontId="10" fillId="5" borderId="0" xfId="1" applyNumberFormat="1" applyFont="1" applyFill="1" applyBorder="1" applyAlignment="1">
      <alignment horizontal="right" vertical="top" wrapText="1"/>
    </xf>
    <xf numFmtId="0" fontId="13" fillId="2" borderId="0" xfId="2" applyFont="1" applyFill="1" applyAlignment="1">
      <alignment wrapText="1"/>
    </xf>
    <xf numFmtId="0" fontId="14" fillId="2" borderId="0" xfId="2" applyFont="1" applyFill="1" applyAlignment="1">
      <alignment horizontal="left"/>
    </xf>
    <xf numFmtId="165" fontId="15" fillId="2" borderId="0" xfId="2" applyNumberFormat="1" applyFont="1" applyFill="1" applyAlignment="1">
      <alignment horizontal="center" wrapText="1"/>
    </xf>
    <xf numFmtId="0" fontId="13" fillId="2" borderId="0" xfId="2" applyFont="1" applyFill="1" applyBorder="1" applyAlignment="1">
      <alignment wrapText="1"/>
    </xf>
    <xf numFmtId="0" fontId="14" fillId="2" borderId="0" xfId="2" applyFont="1" applyFill="1" applyAlignment="1">
      <alignment wrapText="1"/>
    </xf>
    <xf numFmtId="4" fontId="14" fillId="2" borderId="1" xfId="2" applyNumberFormat="1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wrapText="1"/>
    </xf>
    <xf numFmtId="0" fontId="13" fillId="2" borderId="1" xfId="2" applyFont="1" applyFill="1" applyBorder="1" applyAlignment="1">
      <alignment horizontal="center" vertical="center" wrapText="1"/>
    </xf>
    <xf numFmtId="4" fontId="13" fillId="2" borderId="1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/>
    <xf numFmtId="4" fontId="13" fillId="2" borderId="1" xfId="2" applyNumberFormat="1" applyFont="1" applyFill="1" applyBorder="1" applyAlignment="1"/>
    <xf numFmtId="0" fontId="13" fillId="2" borderId="0" xfId="2" applyFont="1" applyFill="1" applyBorder="1" applyAlignment="1">
      <alignment horizontal="left"/>
    </xf>
    <xf numFmtId="0" fontId="13" fillId="2" borderId="0" xfId="2" applyFont="1" applyFill="1" applyBorder="1" applyAlignment="1"/>
    <xf numFmtId="0" fontId="13" fillId="2" borderId="0" xfId="2" applyFont="1" applyFill="1" applyAlignment="1"/>
    <xf numFmtId="0" fontId="16" fillId="2" borderId="3" xfId="2" applyFont="1" applyFill="1" applyBorder="1" applyAlignment="1">
      <alignment vertical="center" wrapText="1"/>
    </xf>
    <xf numFmtId="0" fontId="2" fillId="0" borderId="0" xfId="3" applyFont="1" applyFill="1" applyAlignment="1">
      <alignment wrapText="1"/>
    </xf>
    <xf numFmtId="0" fontId="6" fillId="6" borderId="1" xfId="3" applyFont="1" applyFill="1" applyBorder="1" applyAlignment="1">
      <alignment horizontal="center" vertical="center" wrapText="1"/>
    </xf>
    <xf numFmtId="0" fontId="6" fillId="7" borderId="1" xfId="3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4" fontId="6" fillId="2" borderId="1" xfId="0" applyNumberFormat="1" applyFont="1" applyFill="1" applyBorder="1" applyAlignment="1">
      <alignment horizontal="center" wrapText="1"/>
    </xf>
    <xf numFmtId="4" fontId="6" fillId="2" borderId="1" xfId="2" applyNumberFormat="1" applyFont="1" applyFill="1" applyBorder="1" applyAlignment="1">
      <alignment horizontal="center" wrapText="1"/>
    </xf>
    <xf numFmtId="4" fontId="6" fillId="6" borderId="1" xfId="2" applyNumberFormat="1" applyFont="1" applyFill="1" applyBorder="1" applyAlignment="1">
      <alignment horizontal="center" wrapText="1"/>
    </xf>
    <xf numFmtId="4" fontId="6" fillId="7" borderId="1" xfId="2" applyNumberFormat="1" applyFont="1" applyFill="1" applyBorder="1" applyAlignment="1">
      <alignment horizontal="center" wrapText="1"/>
    </xf>
    <xf numFmtId="0" fontId="6" fillId="0" borderId="0" xfId="3" applyFont="1" applyFill="1" applyAlignment="1">
      <alignment wrapText="1"/>
    </xf>
    <xf numFmtId="49" fontId="2" fillId="2" borderId="1" xfId="0" applyNumberFormat="1" applyFont="1" applyFill="1" applyBorder="1" applyAlignment="1">
      <alignment horizontal="right" wrapText="1"/>
    </xf>
    <xf numFmtId="0" fontId="7" fillId="2" borderId="1" xfId="4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4" fontId="19" fillId="2" borderId="1" xfId="0" applyNumberFormat="1" applyFont="1" applyFill="1" applyBorder="1" applyAlignment="1">
      <alignment horizontal="center" wrapText="1"/>
    </xf>
    <xf numFmtId="4" fontId="19" fillId="0" borderId="1" xfId="2" applyNumberFormat="1" applyFont="1" applyFill="1" applyBorder="1" applyAlignment="1">
      <alignment horizontal="center" wrapText="1"/>
    </xf>
    <xf numFmtId="4" fontId="19" fillId="6" borderId="1" xfId="2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4" fontId="19" fillId="7" borderId="1" xfId="2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4" fontId="20" fillId="2" borderId="1" xfId="0" applyNumberFormat="1" applyFont="1" applyFill="1" applyBorder="1" applyAlignment="1">
      <alignment horizontal="center" wrapText="1"/>
    </xf>
    <xf numFmtId="4" fontId="20" fillId="0" borderId="1" xfId="2" applyNumberFormat="1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4" fontId="19" fillId="2" borderId="1" xfId="2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4" fontId="6" fillId="0" borderId="1" xfId="2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wrapText="1"/>
    </xf>
    <xf numFmtId="4" fontId="8" fillId="6" borderId="1" xfId="0" applyNumberFormat="1" applyFont="1" applyFill="1" applyBorder="1" applyAlignment="1">
      <alignment horizontal="center" wrapText="1"/>
    </xf>
    <xf numFmtId="4" fontId="6" fillId="7" borderId="1" xfId="0" applyNumberFormat="1" applyFont="1" applyFill="1" applyBorder="1" applyAlignment="1">
      <alignment horizontal="center" wrapText="1"/>
    </xf>
    <xf numFmtId="49" fontId="6" fillId="2" borderId="0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center" wrapText="1"/>
    </xf>
    <xf numFmtId="4" fontId="6" fillId="2" borderId="0" xfId="0" applyNumberFormat="1" applyFont="1" applyFill="1" applyBorder="1" applyAlignment="1">
      <alignment horizontal="center" wrapText="1"/>
    </xf>
    <xf numFmtId="10" fontId="23" fillId="2" borderId="0" xfId="2" applyNumberFormat="1" applyFont="1" applyFill="1" applyBorder="1" applyAlignment="1">
      <alignment horizontal="center" wrapText="1"/>
    </xf>
    <xf numFmtId="4" fontId="8" fillId="2" borderId="0" xfId="0" applyNumberFormat="1" applyFont="1" applyFill="1" applyBorder="1" applyAlignment="1">
      <alignment horizontal="center" wrapText="1"/>
    </xf>
    <xf numFmtId="0" fontId="2" fillId="2" borderId="0" xfId="3" applyFont="1" applyFill="1" applyAlignment="1">
      <alignment wrapText="1"/>
    </xf>
    <xf numFmtId="0" fontId="24" fillId="0" borderId="0" xfId="3" applyFont="1" applyFill="1" applyAlignment="1">
      <alignment wrapText="1"/>
    </xf>
    <xf numFmtId="4" fontId="24" fillId="0" borderId="0" xfId="3" applyNumberFormat="1" applyFont="1" applyFill="1" applyAlignment="1">
      <alignment wrapText="1"/>
    </xf>
    <xf numFmtId="0" fontId="15" fillId="0" borderId="0" xfId="2" applyFont="1" applyFill="1" applyAlignment="1">
      <alignment horizontal="right" wrapText="1"/>
    </xf>
    <xf numFmtId="0" fontId="15" fillId="0" borderId="0" xfId="2" applyFont="1" applyFill="1" applyAlignment="1">
      <alignment wrapText="1"/>
    </xf>
    <xf numFmtId="166" fontId="15" fillId="0" borderId="0" xfId="2" applyNumberFormat="1" applyFont="1" applyFill="1" applyAlignment="1">
      <alignment horizontal="right" wrapText="1"/>
    </xf>
    <xf numFmtId="0" fontId="15" fillId="2" borderId="0" xfId="2" applyFont="1" applyFill="1" applyAlignment="1">
      <alignment wrapText="1"/>
    </xf>
    <xf numFmtId="0" fontId="25" fillId="0" borderId="0" xfId="0" applyFont="1"/>
    <xf numFmtId="164" fontId="25" fillId="0" borderId="0" xfId="0" applyNumberFormat="1" applyFont="1"/>
    <xf numFmtId="164" fontId="26" fillId="0" borderId="0" xfId="0" applyNumberFormat="1" applyFont="1"/>
    <xf numFmtId="0" fontId="27" fillId="2" borderId="0" xfId="2" applyFont="1" applyFill="1" applyAlignment="1">
      <alignment horizontal="left"/>
    </xf>
    <xf numFmtId="0" fontId="28" fillId="2" borderId="0" xfId="2" applyFont="1" applyFill="1" applyAlignment="1">
      <alignment wrapText="1"/>
    </xf>
    <xf numFmtId="166" fontId="15" fillId="2" borderId="0" xfId="2" applyNumberFormat="1" applyFont="1" applyFill="1" applyAlignment="1">
      <alignment wrapText="1"/>
    </xf>
    <xf numFmtId="164" fontId="15" fillId="2" borderId="0" xfId="2" applyNumberFormat="1" applyFont="1" applyFill="1" applyAlignment="1">
      <alignment wrapText="1"/>
    </xf>
    <xf numFmtId="164" fontId="29" fillId="2" borderId="0" xfId="2" applyNumberFormat="1" applyFont="1" applyFill="1" applyAlignment="1">
      <alignment wrapText="1"/>
    </xf>
    <xf numFmtId="0" fontId="30" fillId="2" borderId="0" xfId="2" applyFont="1" applyFill="1" applyAlignment="1">
      <alignment horizontal="left"/>
    </xf>
    <xf numFmtId="0" fontId="15" fillId="2" borderId="0" xfId="2" applyFont="1" applyFill="1" applyBorder="1" applyAlignment="1">
      <alignment wrapText="1"/>
    </xf>
    <xf numFmtId="0" fontId="30" fillId="2" borderId="0" xfId="2" applyFont="1" applyFill="1" applyAlignment="1">
      <alignment wrapText="1"/>
    </xf>
    <xf numFmtId="166" fontId="30" fillId="2" borderId="0" xfId="2" applyNumberFormat="1" applyFont="1" applyFill="1" applyAlignment="1">
      <alignment wrapText="1"/>
    </xf>
    <xf numFmtId="164" fontId="30" fillId="2" borderId="0" xfId="2" applyNumberFormat="1" applyFont="1" applyFill="1" applyAlignment="1">
      <alignment wrapText="1"/>
    </xf>
    <xf numFmtId="164" fontId="31" fillId="2" borderId="0" xfId="2" applyNumberFormat="1" applyFont="1" applyFill="1" applyAlignment="1">
      <alignment wrapText="1"/>
    </xf>
    <xf numFmtId="0" fontId="30" fillId="2" borderId="0" xfId="2" applyFont="1" applyFill="1" applyBorder="1" applyAlignment="1">
      <alignment wrapText="1"/>
    </xf>
    <xf numFmtId="0" fontId="28" fillId="2" borderId="1" xfId="2" applyFont="1" applyFill="1" applyBorder="1" applyAlignment="1">
      <alignment horizontal="center" vertical="center" wrapText="1"/>
    </xf>
    <xf numFmtId="4" fontId="28" fillId="2" borderId="1" xfId="2" applyNumberFormat="1" applyFont="1" applyFill="1" applyBorder="1" applyAlignment="1">
      <alignment horizontal="center" vertical="center" wrapText="1"/>
    </xf>
    <xf numFmtId="165" fontId="28" fillId="2" borderId="1" xfId="2" applyNumberFormat="1" applyFont="1" applyFill="1" applyBorder="1" applyAlignment="1"/>
    <xf numFmtId="166" fontId="28" fillId="2" borderId="1" xfId="2" applyNumberFormat="1" applyFont="1" applyFill="1" applyBorder="1" applyAlignment="1"/>
    <xf numFmtId="165" fontId="15" fillId="2" borderId="0" xfId="2" applyNumberFormat="1" applyFont="1" applyFill="1" applyBorder="1" applyAlignment="1"/>
    <xf numFmtId="166" fontId="15" fillId="2" borderId="0" xfId="2" applyNumberFormat="1" applyFont="1" applyFill="1" applyBorder="1" applyAlignment="1"/>
    <xf numFmtId="165" fontId="28" fillId="2" borderId="1" xfId="2" applyNumberFormat="1" applyFont="1" applyFill="1" applyBorder="1" applyAlignment="1">
      <alignment wrapText="1"/>
    </xf>
    <xf numFmtId="0" fontId="15" fillId="2" borderId="0" xfId="2" applyFont="1" applyFill="1" applyAlignment="1">
      <alignment horizontal="right" wrapText="1"/>
    </xf>
    <xf numFmtId="166" fontId="15" fillId="2" borderId="0" xfId="2" applyNumberFormat="1" applyFont="1" applyFill="1" applyAlignment="1">
      <alignment horizontal="right" wrapText="1"/>
    </xf>
    <xf numFmtId="0" fontId="28" fillId="2" borderId="0" xfId="2" applyFont="1" applyFill="1" applyBorder="1" applyAlignment="1"/>
    <xf numFmtId="0" fontId="27" fillId="2" borderId="0" xfId="2" applyFont="1" applyFill="1" applyBorder="1" applyAlignment="1">
      <alignment horizontal="left" vertical="center"/>
    </xf>
    <xf numFmtId="0" fontId="30" fillId="2" borderId="0" xfId="2" applyFont="1" applyFill="1" applyBorder="1" applyAlignment="1">
      <alignment vertical="center" wrapText="1"/>
    </xf>
    <xf numFmtId="0" fontId="30" fillId="2" borderId="0" xfId="2" applyFont="1" applyFill="1" applyBorder="1" applyAlignment="1">
      <alignment horizontal="right" vertical="center" wrapText="1"/>
    </xf>
    <xf numFmtId="166" fontId="30" fillId="2" borderId="0" xfId="2" applyNumberFormat="1" applyFont="1" applyFill="1" applyBorder="1" applyAlignment="1">
      <alignment horizontal="right" vertical="center" wrapText="1"/>
    </xf>
    <xf numFmtId="0" fontId="27" fillId="2" borderId="0" xfId="2" applyFont="1" applyFill="1" applyBorder="1" applyAlignment="1">
      <alignment wrapText="1"/>
    </xf>
    <xf numFmtId="0" fontId="27" fillId="0" borderId="0" xfId="2" applyFont="1" applyFill="1" applyAlignment="1">
      <alignment wrapText="1"/>
    </xf>
    <xf numFmtId="0" fontId="27" fillId="2" borderId="0" xfId="2" applyFont="1" applyFill="1" applyBorder="1" applyAlignment="1">
      <alignment horizontal="center" wrapText="1"/>
    </xf>
    <xf numFmtId="167" fontId="27" fillId="2" borderId="1" xfId="2" applyNumberFormat="1" applyFont="1" applyFill="1" applyBorder="1" applyAlignment="1">
      <alignment horizontal="center" wrapText="1"/>
    </xf>
    <xf numFmtId="0" fontId="27" fillId="0" borderId="0" xfId="2" applyFont="1" applyFill="1" applyAlignment="1">
      <alignment horizontal="center" wrapText="1"/>
    </xf>
    <xf numFmtId="167" fontId="28" fillId="2" borderId="1" xfId="2" applyNumberFormat="1" applyFont="1" applyFill="1" applyBorder="1" applyAlignment="1">
      <alignment horizontal="center" wrapText="1"/>
    </xf>
    <xf numFmtId="164" fontId="28" fillId="0" borderId="4" xfId="2" applyNumberFormat="1" applyFont="1" applyFill="1" applyBorder="1" applyAlignment="1">
      <alignment horizontal="center" wrapText="1"/>
    </xf>
    <xf numFmtId="164" fontId="28" fillId="0" borderId="1" xfId="2" applyNumberFormat="1" applyFont="1" applyFill="1" applyBorder="1" applyAlignment="1">
      <alignment horizontal="center" wrapText="1"/>
    </xf>
    <xf numFmtId="164" fontId="33" fillId="2" borderId="1" xfId="2" applyNumberFormat="1" applyFont="1" applyFill="1" applyBorder="1" applyAlignment="1">
      <alignment horizontal="center" wrapText="1"/>
    </xf>
    <xf numFmtId="0" fontId="28" fillId="2" borderId="0" xfId="2" applyFont="1" applyFill="1" applyBorder="1" applyAlignment="1">
      <alignment horizontal="center" wrapText="1"/>
    </xf>
    <xf numFmtId="0" fontId="28" fillId="0" borderId="0" xfId="2" applyFont="1" applyFill="1" applyAlignment="1">
      <alignment horizontal="center" wrapText="1"/>
    </xf>
    <xf numFmtId="0" fontId="30" fillId="8" borderId="1" xfId="2" applyFont="1" applyFill="1" applyBorder="1" applyAlignment="1">
      <alignment horizontal="right"/>
    </xf>
    <xf numFmtId="166" fontId="30" fillId="8" borderId="1" xfId="2" applyNumberFormat="1" applyFont="1" applyFill="1" applyBorder="1" applyAlignment="1">
      <alignment horizontal="right"/>
    </xf>
    <xf numFmtId="164" fontId="27" fillId="8" borderId="1" xfId="2" applyNumberFormat="1" applyFont="1" applyFill="1" applyBorder="1" applyAlignment="1">
      <alignment wrapText="1"/>
    </xf>
    <xf numFmtId="164" fontId="27" fillId="8" borderId="2" xfId="2" applyNumberFormat="1" applyFont="1" applyFill="1" applyBorder="1" applyAlignment="1">
      <alignment wrapText="1"/>
    </xf>
    <xf numFmtId="164" fontId="27" fillId="8" borderId="23" xfId="2" applyNumberFormat="1" applyFont="1" applyFill="1" applyBorder="1" applyAlignment="1">
      <alignment wrapText="1"/>
    </xf>
    <xf numFmtId="164" fontId="27" fillId="8" borderId="24" xfId="2" applyNumberFormat="1" applyFont="1" applyFill="1" applyBorder="1" applyAlignment="1">
      <alignment wrapText="1"/>
    </xf>
    <xf numFmtId="164" fontId="27" fillId="8" borderId="4" xfId="2" applyNumberFormat="1" applyFont="1" applyFill="1" applyBorder="1" applyAlignment="1">
      <alignment wrapText="1"/>
    </xf>
    <xf numFmtId="164" fontId="32" fillId="8" borderId="1" xfId="2" applyNumberFormat="1" applyFont="1" applyFill="1" applyBorder="1" applyAlignment="1">
      <alignment wrapText="1"/>
    </xf>
    <xf numFmtId="168" fontId="27" fillId="8" borderId="1" xfId="2" applyNumberFormat="1" applyFont="1" applyFill="1" applyBorder="1" applyAlignment="1">
      <alignment wrapText="1"/>
    </xf>
    <xf numFmtId="168" fontId="27" fillId="7" borderId="1" xfId="2" applyNumberFormat="1" applyFont="1" applyFill="1" applyBorder="1" applyAlignment="1">
      <alignment wrapText="1"/>
    </xf>
    <xf numFmtId="0" fontId="27" fillId="7" borderId="0" xfId="2" applyFont="1" applyFill="1" applyAlignment="1">
      <alignment wrapText="1"/>
    </xf>
    <xf numFmtId="0" fontId="30" fillId="2" borderId="1" xfId="2" applyFont="1" applyFill="1" applyBorder="1" applyAlignment="1">
      <alignment horizontal="right"/>
    </xf>
    <xf numFmtId="166" fontId="30" fillId="2" borderId="1" xfId="2" applyNumberFormat="1" applyFont="1" applyFill="1" applyBorder="1" applyAlignment="1">
      <alignment horizontal="right"/>
    </xf>
    <xf numFmtId="164" fontId="27" fillId="2" borderId="1" xfId="2" applyNumberFormat="1" applyFont="1" applyFill="1" applyBorder="1" applyAlignment="1">
      <alignment wrapText="1"/>
    </xf>
    <xf numFmtId="164" fontId="27" fillId="2" borderId="2" xfId="2" applyNumberFormat="1" applyFont="1" applyFill="1" applyBorder="1" applyAlignment="1">
      <alignment wrapText="1"/>
    </xf>
    <xf numFmtId="164" fontId="27" fillId="2" borderId="23" xfId="2" applyNumberFormat="1" applyFont="1" applyFill="1" applyBorder="1" applyAlignment="1">
      <alignment wrapText="1"/>
    </xf>
    <xf numFmtId="164" fontId="27" fillId="2" borderId="24" xfId="2" applyNumberFormat="1" applyFont="1" applyFill="1" applyBorder="1" applyAlignment="1">
      <alignment wrapText="1"/>
    </xf>
    <xf numFmtId="164" fontId="27" fillId="2" borderId="4" xfId="2" applyNumberFormat="1" applyFont="1" applyFill="1" applyBorder="1" applyAlignment="1">
      <alignment wrapText="1"/>
    </xf>
    <xf numFmtId="164" fontId="32" fillId="2" borderId="1" xfId="2" applyNumberFormat="1" applyFont="1" applyFill="1" applyBorder="1" applyAlignment="1">
      <alignment wrapText="1"/>
    </xf>
    <xf numFmtId="168" fontId="27" fillId="2" borderId="1" xfId="2" applyNumberFormat="1" applyFont="1" applyFill="1" applyBorder="1" applyAlignment="1">
      <alignment wrapText="1"/>
    </xf>
    <xf numFmtId="0" fontId="27" fillId="2" borderId="0" xfId="2" applyFont="1" applyFill="1" applyBorder="1" applyAlignment="1">
      <alignment horizontal="left"/>
    </xf>
    <xf numFmtId="166" fontId="28" fillId="2" borderId="0" xfId="2" applyNumberFormat="1" applyFont="1" applyFill="1" applyBorder="1" applyAlignment="1">
      <alignment horizontal="left"/>
    </xf>
    <xf numFmtId="0" fontId="27" fillId="2" borderId="4" xfId="2" applyFont="1" applyFill="1" applyBorder="1" applyAlignment="1">
      <alignment horizontal="left"/>
    </xf>
    <xf numFmtId="0" fontId="27" fillId="2" borderId="1" xfId="2" applyFont="1" applyFill="1" applyBorder="1" applyAlignment="1">
      <alignment horizontal="left"/>
    </xf>
    <xf numFmtId="0" fontId="28" fillId="2" borderId="1" xfId="2" applyFont="1" applyFill="1" applyBorder="1" applyAlignment="1">
      <alignment horizontal="right" wrapText="1"/>
    </xf>
    <xf numFmtId="0" fontId="28" fillId="2" borderId="1" xfId="2" applyFont="1" applyFill="1" applyBorder="1" applyAlignment="1">
      <alignment horizontal="left" wrapText="1"/>
    </xf>
    <xf numFmtId="166" fontId="28" fillId="2" borderId="1" xfId="2" applyNumberFormat="1" applyFont="1" applyFill="1" applyBorder="1" applyAlignment="1">
      <alignment horizontal="right" wrapText="1"/>
    </xf>
    <xf numFmtId="164" fontId="28" fillId="2" borderId="1" xfId="2" applyNumberFormat="1" applyFont="1" applyFill="1" applyBorder="1" applyAlignment="1">
      <alignment wrapText="1"/>
    </xf>
    <xf numFmtId="164" fontId="28" fillId="2" borderId="2" xfId="2" applyNumberFormat="1" applyFont="1" applyFill="1" applyBorder="1" applyAlignment="1">
      <alignment wrapText="1"/>
    </xf>
    <xf numFmtId="164" fontId="28" fillId="2" borderId="23" xfId="2" applyNumberFormat="1" applyFont="1" applyFill="1" applyBorder="1" applyAlignment="1">
      <alignment wrapText="1"/>
    </xf>
    <xf numFmtId="164" fontId="28" fillId="2" borderId="24" xfId="2" applyNumberFormat="1" applyFont="1" applyFill="1" applyBorder="1" applyAlignment="1">
      <alignment wrapText="1"/>
    </xf>
    <xf numFmtId="164" fontId="28" fillId="2" borderId="4" xfId="2" applyNumberFormat="1" applyFont="1" applyFill="1" applyBorder="1" applyAlignment="1">
      <alignment wrapText="1"/>
    </xf>
    <xf numFmtId="164" fontId="33" fillId="2" borderId="1" xfId="2" applyNumberFormat="1" applyFont="1" applyFill="1" applyBorder="1" applyAlignment="1">
      <alignment wrapText="1"/>
    </xf>
    <xf numFmtId="168" fontId="28" fillId="2" borderId="1" xfId="2" applyNumberFormat="1" applyFont="1" applyFill="1" applyBorder="1" applyAlignment="1">
      <alignment wrapText="1"/>
    </xf>
    <xf numFmtId="164" fontId="28" fillId="2" borderId="0" xfId="2" applyNumberFormat="1" applyFont="1" applyFill="1" applyBorder="1" applyAlignment="1">
      <alignment horizontal="center" wrapText="1"/>
    </xf>
    <xf numFmtId="49" fontId="34" fillId="2" borderId="1" xfId="2" applyNumberFormat="1" applyFont="1" applyFill="1" applyBorder="1" applyAlignment="1">
      <alignment horizontal="right" wrapText="1"/>
    </xf>
    <xf numFmtId="0" fontId="34" fillId="2" borderId="1" xfId="4" applyFont="1" applyFill="1" applyBorder="1" applyAlignment="1">
      <alignment horizontal="right" wrapText="1"/>
    </xf>
    <xf numFmtId="166" fontId="34" fillId="2" borderId="1" xfId="2" applyNumberFormat="1" applyFont="1" applyFill="1" applyBorder="1" applyAlignment="1">
      <alignment wrapText="1"/>
    </xf>
    <xf numFmtId="164" fontId="34" fillId="2" borderId="1" xfId="2" applyNumberFormat="1" applyFont="1" applyFill="1" applyBorder="1" applyAlignment="1">
      <alignment wrapText="1"/>
    </xf>
    <xf numFmtId="164" fontId="34" fillId="2" borderId="2" xfId="2" applyNumberFormat="1" applyFont="1" applyFill="1" applyBorder="1" applyAlignment="1">
      <alignment wrapText="1"/>
    </xf>
    <xf numFmtId="164" fontId="34" fillId="2" borderId="23" xfId="2" applyNumberFormat="1" applyFont="1" applyFill="1" applyBorder="1" applyAlignment="1">
      <alignment wrapText="1"/>
    </xf>
    <xf numFmtId="164" fontId="34" fillId="0" borderId="24" xfId="2" applyNumberFormat="1" applyFont="1" applyFill="1" applyBorder="1" applyAlignment="1">
      <alignment wrapText="1"/>
    </xf>
    <xf numFmtId="164" fontId="34" fillId="0" borderId="4" xfId="2" applyNumberFormat="1" applyFont="1" applyFill="1" applyBorder="1" applyAlignment="1">
      <alignment wrapText="1"/>
    </xf>
    <xf numFmtId="164" fontId="34" fillId="0" borderId="1" xfId="2" applyNumberFormat="1" applyFont="1" applyFill="1" applyBorder="1" applyAlignment="1">
      <alignment wrapText="1"/>
    </xf>
    <xf numFmtId="164" fontId="35" fillId="0" borderId="1" xfId="2" applyNumberFormat="1" applyFont="1" applyFill="1" applyBorder="1" applyAlignment="1">
      <alignment wrapText="1"/>
    </xf>
    <xf numFmtId="168" fontId="34" fillId="2" borderId="1" xfId="2" applyNumberFormat="1" applyFont="1" applyFill="1" applyBorder="1" applyAlignment="1">
      <alignment wrapText="1"/>
    </xf>
    <xf numFmtId="0" fontId="34" fillId="2" borderId="0" xfId="2" applyFont="1" applyFill="1" applyBorder="1" applyAlignment="1">
      <alignment wrapText="1"/>
    </xf>
    <xf numFmtId="166" fontId="34" fillId="2" borderId="0" xfId="2" applyNumberFormat="1" applyFont="1" applyFill="1" applyBorder="1" applyAlignment="1">
      <alignment horizontal="left"/>
    </xf>
    <xf numFmtId="0" fontId="34" fillId="0" borderId="0" xfId="2" applyFont="1" applyFill="1" applyAlignment="1">
      <alignment wrapText="1"/>
    </xf>
    <xf numFmtId="49" fontId="34" fillId="8" borderId="1" xfId="2" applyNumberFormat="1" applyFont="1" applyFill="1" applyBorder="1" applyAlignment="1">
      <alignment horizontal="right" wrapText="1"/>
    </xf>
    <xf numFmtId="0" fontId="34" fillId="8" borderId="1" xfId="4" applyFont="1" applyFill="1" applyBorder="1" applyAlignment="1">
      <alignment horizontal="right" wrapText="1"/>
    </xf>
    <xf numFmtId="166" fontId="34" fillId="8" borderId="1" xfId="4" applyNumberFormat="1" applyFont="1" applyFill="1" applyBorder="1" applyAlignment="1">
      <alignment horizontal="right" wrapText="1"/>
    </xf>
    <xf numFmtId="164" fontId="34" fillId="8" borderId="1" xfId="2" applyNumberFormat="1" applyFont="1" applyFill="1" applyBorder="1" applyAlignment="1">
      <alignment wrapText="1"/>
    </xf>
    <xf numFmtId="164" fontId="34" fillId="8" borderId="2" xfId="2" applyNumberFormat="1" applyFont="1" applyFill="1" applyBorder="1" applyAlignment="1">
      <alignment wrapText="1"/>
    </xf>
    <xf numFmtId="164" fontId="34" fillId="8" borderId="23" xfId="2" applyNumberFormat="1" applyFont="1" applyFill="1" applyBorder="1" applyAlignment="1">
      <alignment wrapText="1"/>
    </xf>
    <xf numFmtId="164" fontId="34" fillId="8" borderId="24" xfId="2" applyNumberFormat="1" applyFont="1" applyFill="1" applyBorder="1" applyAlignment="1">
      <alignment wrapText="1"/>
    </xf>
    <xf numFmtId="164" fontId="34" fillId="8" borderId="4" xfId="2" applyNumberFormat="1" applyFont="1" applyFill="1" applyBorder="1" applyAlignment="1">
      <alignment wrapText="1"/>
    </xf>
    <xf numFmtId="164" fontId="35" fillId="8" borderId="1" xfId="2" applyNumberFormat="1" applyFont="1" applyFill="1" applyBorder="1" applyAlignment="1">
      <alignment wrapText="1"/>
    </xf>
    <xf numFmtId="168" fontId="34" fillId="8" borderId="1" xfId="2" applyNumberFormat="1" applyFont="1" applyFill="1" applyBorder="1" applyAlignment="1">
      <alignment wrapText="1"/>
    </xf>
    <xf numFmtId="0" fontId="34" fillId="2" borderId="0" xfId="2" applyFont="1" applyFill="1" applyAlignment="1">
      <alignment wrapText="1"/>
    </xf>
    <xf numFmtId="0" fontId="34" fillId="2" borderId="1" xfId="2" applyFont="1" applyFill="1" applyBorder="1" applyAlignment="1">
      <alignment horizontal="right" wrapText="1"/>
    </xf>
    <xf numFmtId="164" fontId="34" fillId="2" borderId="0" xfId="2" applyNumberFormat="1" applyFont="1" applyFill="1" applyAlignment="1">
      <alignment wrapText="1"/>
    </xf>
    <xf numFmtId="0" fontId="34" fillId="8" borderId="1" xfId="2" applyFont="1" applyFill="1" applyBorder="1" applyAlignment="1">
      <alignment horizontal="right" wrapText="1"/>
    </xf>
    <xf numFmtId="166" fontId="34" fillId="8" borderId="1" xfId="2" applyNumberFormat="1" applyFont="1" applyFill="1" applyBorder="1" applyAlignment="1">
      <alignment wrapText="1"/>
    </xf>
    <xf numFmtId="166" fontId="34" fillId="8" borderId="1" xfId="2" applyNumberFormat="1" applyFont="1" applyFill="1" applyBorder="1" applyAlignment="1">
      <alignment horizontal="right" wrapText="1"/>
    </xf>
    <xf numFmtId="14" fontId="15" fillId="2" borderId="1" xfId="2" applyNumberFormat="1" applyFont="1" applyFill="1" applyBorder="1" applyAlignment="1">
      <alignment horizontal="right" wrapText="1"/>
    </xf>
    <xf numFmtId="0" fontId="15" fillId="2" borderId="1" xfId="2" applyFont="1" applyFill="1" applyBorder="1" applyAlignment="1">
      <alignment horizontal="right" wrapText="1"/>
    </xf>
    <xf numFmtId="166" fontId="15" fillId="2" borderId="1" xfId="2" applyNumberFormat="1" applyFont="1" applyFill="1" applyBorder="1" applyAlignment="1">
      <alignment wrapText="1"/>
    </xf>
    <xf numFmtId="164" fontId="15" fillId="2" borderId="1" xfId="2" applyNumberFormat="1" applyFont="1" applyFill="1" applyBorder="1" applyAlignment="1">
      <alignment wrapText="1"/>
    </xf>
    <xf numFmtId="164" fontId="15" fillId="2" borderId="2" xfId="2" applyNumberFormat="1" applyFont="1" applyFill="1" applyBorder="1" applyAlignment="1">
      <alignment wrapText="1"/>
    </xf>
    <xf numFmtId="164" fontId="15" fillId="2" borderId="23" xfId="2" applyNumberFormat="1" applyFont="1" applyFill="1" applyBorder="1" applyAlignment="1">
      <alignment wrapText="1"/>
    </xf>
    <xf numFmtId="164" fontId="15" fillId="2" borderId="24" xfId="2" applyNumberFormat="1" applyFont="1" applyFill="1" applyBorder="1" applyAlignment="1">
      <alignment wrapText="1"/>
    </xf>
    <xf numFmtId="164" fontId="36" fillId="2" borderId="4" xfId="0" applyNumberFormat="1" applyFont="1" applyFill="1" applyBorder="1"/>
    <xf numFmtId="164" fontId="36" fillId="2" borderId="1" xfId="0" applyNumberFormat="1" applyFont="1" applyFill="1" applyBorder="1"/>
    <xf numFmtId="164" fontId="37" fillId="2" borderId="1" xfId="0" applyNumberFormat="1" applyFont="1" applyFill="1" applyBorder="1"/>
    <xf numFmtId="168" fontId="15" fillId="2" borderId="1" xfId="2" applyNumberFormat="1" applyFont="1" applyFill="1" applyBorder="1" applyAlignment="1">
      <alignment wrapText="1"/>
    </xf>
    <xf numFmtId="166" fontId="15" fillId="2" borderId="0" xfId="2" applyNumberFormat="1" applyFont="1" applyFill="1" applyBorder="1" applyAlignment="1">
      <alignment horizontal="left"/>
    </xf>
    <xf numFmtId="166" fontId="15" fillId="2" borderId="1" xfId="2" applyNumberFormat="1" applyFont="1" applyFill="1" applyBorder="1" applyAlignment="1">
      <alignment horizontal="right" wrapText="1"/>
    </xf>
    <xf numFmtId="0" fontId="28" fillId="8" borderId="1" xfId="2" applyFont="1" applyFill="1" applyBorder="1" applyAlignment="1">
      <alignment horizontal="right" wrapText="1"/>
    </xf>
    <xf numFmtId="0" fontId="28" fillId="8" borderId="1" xfId="2" applyFont="1" applyFill="1" applyBorder="1" applyAlignment="1">
      <alignment wrapText="1"/>
    </xf>
    <xf numFmtId="166" fontId="28" fillId="8" borderId="1" xfId="2" applyNumberFormat="1" applyFont="1" applyFill="1" applyBorder="1" applyAlignment="1">
      <alignment wrapText="1"/>
    </xf>
    <xf numFmtId="164" fontId="28" fillId="8" borderId="1" xfId="2" applyNumberFormat="1" applyFont="1" applyFill="1" applyBorder="1" applyAlignment="1">
      <alignment wrapText="1"/>
    </xf>
    <xf numFmtId="164" fontId="28" fillId="8" borderId="2" xfId="2" applyNumberFormat="1" applyFont="1" applyFill="1" applyBorder="1" applyAlignment="1">
      <alignment wrapText="1"/>
    </xf>
    <xf numFmtId="164" fontId="28" fillId="8" borderId="23" xfId="2" applyNumberFormat="1" applyFont="1" applyFill="1" applyBorder="1" applyAlignment="1">
      <alignment wrapText="1"/>
    </xf>
    <xf numFmtId="164" fontId="28" fillId="8" borderId="24" xfId="2" applyNumberFormat="1" applyFont="1" applyFill="1" applyBorder="1" applyAlignment="1">
      <alignment wrapText="1"/>
    </xf>
    <xf numFmtId="164" fontId="28" fillId="8" borderId="4" xfId="2" applyNumberFormat="1" applyFont="1" applyFill="1" applyBorder="1" applyAlignment="1">
      <alignment wrapText="1"/>
    </xf>
    <xf numFmtId="164" fontId="33" fillId="8" borderId="1" xfId="2" applyNumberFormat="1" applyFont="1" applyFill="1" applyBorder="1" applyAlignment="1">
      <alignment wrapText="1"/>
    </xf>
    <xf numFmtId="168" fontId="28" fillId="8" borderId="1" xfId="2" applyNumberFormat="1" applyFont="1" applyFill="1" applyBorder="1" applyAlignment="1">
      <alignment wrapText="1"/>
    </xf>
    <xf numFmtId="0" fontId="28" fillId="0" borderId="0" xfId="2" applyFont="1" applyFill="1" applyAlignment="1">
      <alignment wrapText="1"/>
    </xf>
    <xf numFmtId="166" fontId="28" fillId="8" borderId="1" xfId="2" applyNumberFormat="1" applyFont="1" applyFill="1" applyBorder="1" applyAlignment="1">
      <alignment horizontal="right" wrapText="1"/>
    </xf>
    <xf numFmtId="164" fontId="34" fillId="2" borderId="24" xfId="2" applyNumberFormat="1" applyFont="1" applyFill="1" applyBorder="1" applyAlignment="1">
      <alignment wrapText="1"/>
    </xf>
    <xf numFmtId="164" fontId="34" fillId="2" borderId="4" xfId="2" applyNumberFormat="1" applyFont="1" applyFill="1" applyBorder="1" applyAlignment="1">
      <alignment wrapText="1"/>
    </xf>
    <xf numFmtId="164" fontId="35" fillId="2" borderId="1" xfId="2" applyNumberFormat="1" applyFont="1" applyFill="1" applyBorder="1" applyAlignment="1">
      <alignment wrapText="1"/>
    </xf>
    <xf numFmtId="166" fontId="34" fillId="2" borderId="1" xfId="2" applyNumberFormat="1" applyFont="1" applyFill="1" applyBorder="1" applyAlignment="1">
      <alignment horizontal="right" wrapText="1"/>
    </xf>
    <xf numFmtId="164" fontId="34" fillId="2" borderId="4" xfId="5" applyNumberFormat="1" applyFont="1" applyFill="1" applyBorder="1" applyAlignment="1">
      <alignment wrapText="1"/>
    </xf>
    <xf numFmtId="164" fontId="34" fillId="2" borderId="1" xfId="5" applyNumberFormat="1" applyFont="1" applyFill="1" applyBorder="1" applyAlignment="1">
      <alignment wrapText="1"/>
    </xf>
    <xf numFmtId="164" fontId="35" fillId="2" borderId="1" xfId="5" applyNumberFormat="1" applyFont="1" applyFill="1" applyBorder="1" applyAlignment="1">
      <alignment wrapText="1"/>
    </xf>
    <xf numFmtId="166" fontId="28" fillId="9" borderId="1" xfId="2" applyNumberFormat="1" applyFont="1" applyFill="1" applyBorder="1" applyAlignment="1">
      <alignment wrapText="1"/>
    </xf>
    <xf numFmtId="165" fontId="28" fillId="2" borderId="24" xfId="2" applyNumberFormat="1" applyFont="1" applyFill="1" applyBorder="1" applyAlignment="1">
      <alignment wrapText="1"/>
    </xf>
    <xf numFmtId="164" fontId="28" fillId="0" borderId="1" xfId="2" applyNumberFormat="1" applyFont="1" applyFill="1" applyBorder="1" applyAlignment="1">
      <alignment wrapText="1"/>
    </xf>
    <xf numFmtId="0" fontId="28" fillId="0" borderId="1" xfId="2" applyFont="1" applyFill="1" applyBorder="1" applyAlignment="1">
      <alignment wrapText="1"/>
    </xf>
    <xf numFmtId="0" fontId="28" fillId="0" borderId="1" xfId="2" applyFont="1" applyFill="1" applyBorder="1" applyAlignment="1">
      <alignment horizontal="right" wrapText="1"/>
    </xf>
    <xf numFmtId="166" fontId="28" fillId="0" borderId="1" xfId="2" applyNumberFormat="1" applyFont="1" applyFill="1" applyBorder="1" applyAlignment="1">
      <alignment horizontal="right" wrapText="1"/>
    </xf>
    <xf numFmtId="165" fontId="28" fillId="0" borderId="1" xfId="2" applyNumberFormat="1" applyFont="1" applyFill="1" applyBorder="1" applyAlignment="1">
      <alignment wrapText="1"/>
    </xf>
    <xf numFmtId="165" fontId="28" fillId="0" borderId="23" xfId="2" applyNumberFormat="1" applyFont="1" applyFill="1" applyBorder="1" applyAlignment="1">
      <alignment wrapText="1"/>
    </xf>
    <xf numFmtId="165" fontId="28" fillId="2" borderId="2" xfId="2" applyNumberFormat="1" applyFont="1" applyFill="1" applyBorder="1" applyAlignment="1">
      <alignment wrapText="1"/>
    </xf>
    <xf numFmtId="166" fontId="34" fillId="10" borderId="1" xfId="2" applyNumberFormat="1" applyFont="1" applyFill="1" applyBorder="1" applyAlignment="1">
      <alignment horizontal="right" wrapText="1"/>
    </xf>
    <xf numFmtId="165" fontId="34" fillId="8" borderId="24" xfId="2" applyNumberFormat="1" applyFont="1" applyFill="1" applyBorder="1" applyAlignment="1">
      <alignment wrapText="1"/>
    </xf>
    <xf numFmtId="164" fontId="34" fillId="2" borderId="1" xfId="2" applyNumberFormat="1" applyFont="1" applyFill="1" applyBorder="1" applyAlignment="1">
      <alignment horizontal="right" wrapText="1"/>
    </xf>
    <xf numFmtId="166" fontId="34" fillId="0" borderId="1" xfId="2" applyNumberFormat="1" applyFont="1" applyFill="1" applyBorder="1" applyAlignment="1">
      <alignment wrapText="1"/>
    </xf>
    <xf numFmtId="165" fontId="34" fillId="2" borderId="24" xfId="2" applyNumberFormat="1" applyFont="1" applyFill="1" applyBorder="1" applyAlignment="1">
      <alignment wrapText="1"/>
    </xf>
    <xf numFmtId="164" fontId="34" fillId="8" borderId="1" xfId="2" applyNumberFormat="1" applyFont="1" applyFill="1" applyBorder="1" applyAlignment="1">
      <alignment horizontal="right" wrapText="1"/>
    </xf>
    <xf numFmtId="165" fontId="34" fillId="8" borderId="23" xfId="2" applyNumberFormat="1" applyFont="1" applyFill="1" applyBorder="1" applyAlignment="1">
      <alignment wrapText="1"/>
    </xf>
    <xf numFmtId="165" fontId="34" fillId="8" borderId="1" xfId="2" applyNumberFormat="1" applyFont="1" applyFill="1" applyBorder="1" applyAlignment="1">
      <alignment wrapText="1"/>
    </xf>
    <xf numFmtId="165" fontId="34" fillId="8" borderId="2" xfId="2" applyNumberFormat="1" applyFont="1" applyFill="1" applyBorder="1" applyAlignment="1">
      <alignment wrapText="1"/>
    </xf>
    <xf numFmtId="164" fontId="15" fillId="2" borderId="1" xfId="2" applyNumberFormat="1" applyFont="1" applyFill="1" applyBorder="1" applyAlignment="1">
      <alignment horizontal="right" wrapText="1"/>
    </xf>
    <xf numFmtId="165" fontId="36" fillId="2" borderId="24" xfId="0" applyNumberFormat="1" applyFont="1" applyFill="1" applyBorder="1"/>
    <xf numFmtId="165" fontId="15" fillId="2" borderId="24" xfId="2" applyNumberFormat="1" applyFont="1" applyFill="1" applyBorder="1" applyAlignment="1">
      <alignment wrapText="1"/>
    </xf>
    <xf numFmtId="164" fontId="29" fillId="2" borderId="1" xfId="2" applyNumberFormat="1" applyFont="1" applyFill="1" applyBorder="1" applyAlignment="1">
      <alignment wrapText="1"/>
    </xf>
    <xf numFmtId="165" fontId="15" fillId="2" borderId="4" xfId="2" applyNumberFormat="1" applyFont="1" applyFill="1" applyBorder="1" applyAlignment="1">
      <alignment wrapText="1"/>
    </xf>
    <xf numFmtId="165" fontId="15" fillId="2" borderId="1" xfId="2" applyNumberFormat="1" applyFont="1" applyFill="1" applyBorder="1" applyAlignment="1">
      <alignment wrapText="1"/>
    </xf>
    <xf numFmtId="165" fontId="29" fillId="2" borderId="1" xfId="2" applyNumberFormat="1" applyFont="1" applyFill="1" applyBorder="1" applyAlignment="1">
      <alignment wrapText="1"/>
    </xf>
    <xf numFmtId="164" fontId="15" fillId="2" borderId="4" xfId="2" applyNumberFormat="1" applyFont="1" applyFill="1" applyBorder="1" applyAlignment="1">
      <alignment wrapText="1"/>
    </xf>
    <xf numFmtId="49" fontId="28" fillId="8" borderId="1" xfId="2" applyNumberFormat="1" applyFont="1" applyFill="1" applyBorder="1" applyAlignment="1">
      <alignment horizontal="right" wrapText="1"/>
    </xf>
    <xf numFmtId="0" fontId="28" fillId="8" borderId="1" xfId="2" applyFont="1" applyFill="1" applyBorder="1" applyAlignment="1">
      <alignment horizontal="left" wrapText="1"/>
    </xf>
    <xf numFmtId="165" fontId="28" fillId="8" borderId="24" xfId="2" applyNumberFormat="1" applyFont="1" applyFill="1" applyBorder="1" applyAlignment="1">
      <alignment wrapText="1"/>
    </xf>
    <xf numFmtId="165" fontId="28" fillId="8" borderId="23" xfId="2" applyNumberFormat="1" applyFont="1" applyFill="1" applyBorder="1" applyAlignment="1">
      <alignment wrapText="1"/>
    </xf>
    <xf numFmtId="165" fontId="28" fillId="8" borderId="1" xfId="2" applyNumberFormat="1" applyFont="1" applyFill="1" applyBorder="1" applyAlignment="1">
      <alignment wrapText="1"/>
    </xf>
    <xf numFmtId="165" fontId="28" fillId="8" borderId="2" xfId="2" applyNumberFormat="1" applyFont="1" applyFill="1" applyBorder="1" applyAlignment="1">
      <alignment wrapText="1"/>
    </xf>
    <xf numFmtId="166" fontId="28" fillId="2" borderId="0" xfId="2" applyNumberFormat="1" applyFont="1" applyFill="1" applyAlignment="1">
      <alignment wrapText="1"/>
    </xf>
    <xf numFmtId="166" fontId="34" fillId="2" borderId="0" xfId="2" applyNumberFormat="1" applyFont="1" applyFill="1" applyAlignment="1">
      <alignment wrapText="1"/>
    </xf>
    <xf numFmtId="164" fontId="33" fillId="2" borderId="4" xfId="2" applyNumberFormat="1" applyFont="1" applyFill="1" applyBorder="1" applyAlignment="1">
      <alignment wrapText="1"/>
    </xf>
    <xf numFmtId="0" fontId="38" fillId="2" borderId="0" xfId="2" applyFont="1" applyFill="1" applyAlignment="1"/>
    <xf numFmtId="166" fontId="38" fillId="2" borderId="0" xfId="2" applyNumberFormat="1" applyFont="1" applyFill="1" applyBorder="1" applyAlignment="1">
      <alignment horizontal="left"/>
    </xf>
    <xf numFmtId="168" fontId="39" fillId="7" borderId="1" xfId="2" applyNumberFormat="1" applyFont="1" applyFill="1" applyBorder="1" applyAlignment="1">
      <alignment wrapText="1"/>
    </xf>
    <xf numFmtId="0" fontId="38" fillId="2" borderId="0" xfId="2" applyFont="1" applyFill="1" applyAlignment="1">
      <alignment wrapText="1"/>
    </xf>
    <xf numFmtId="0" fontId="38" fillId="7" borderId="0" xfId="2" applyFont="1" applyFill="1" applyAlignment="1">
      <alignment wrapText="1"/>
    </xf>
    <xf numFmtId="49" fontId="28" fillId="2" borderId="1" xfId="6" applyNumberFormat="1" applyFont="1" applyFill="1" applyBorder="1" applyAlignment="1">
      <alignment horizontal="right" wrapText="1"/>
    </xf>
    <xf numFmtId="49" fontId="28" fillId="2" borderId="1" xfId="6" applyNumberFormat="1" applyFont="1" applyFill="1" applyBorder="1" applyAlignment="1">
      <alignment wrapText="1"/>
    </xf>
    <xf numFmtId="0" fontId="15" fillId="2" borderId="1" xfId="2" applyFont="1" applyFill="1" applyBorder="1" applyAlignment="1">
      <alignment horizontal="right"/>
    </xf>
    <xf numFmtId="164" fontId="28" fillId="2" borderId="25" xfId="2" applyNumberFormat="1" applyFont="1" applyFill="1" applyBorder="1" applyAlignment="1">
      <alignment wrapText="1"/>
    </xf>
    <xf numFmtId="165" fontId="28" fillId="0" borderId="24" xfId="2" applyNumberFormat="1" applyFont="1" applyFill="1" applyBorder="1" applyAlignment="1">
      <alignment wrapText="1"/>
    </xf>
    <xf numFmtId="49" fontId="28" fillId="2" borderId="1" xfId="6" applyNumberFormat="1" applyFont="1" applyFill="1" applyBorder="1" applyAlignment="1">
      <alignment horizontal="left" wrapText="1"/>
    </xf>
    <xf numFmtId="168" fontId="38" fillId="7" borderId="1" xfId="2" applyNumberFormat="1" applyFont="1" applyFill="1" applyBorder="1" applyAlignment="1">
      <alignment wrapText="1"/>
    </xf>
    <xf numFmtId="0" fontId="30" fillId="6" borderId="1" xfId="2" applyFont="1" applyFill="1" applyBorder="1" applyAlignment="1">
      <alignment horizontal="right"/>
    </xf>
    <xf numFmtId="164" fontId="27" fillId="6" borderId="1" xfId="2" applyNumberFormat="1" applyFont="1" applyFill="1" applyBorder="1" applyAlignment="1">
      <alignment wrapText="1"/>
    </xf>
    <xf numFmtId="164" fontId="27" fillId="6" borderId="2" xfId="2" applyNumberFormat="1" applyFont="1" applyFill="1" applyBorder="1" applyAlignment="1">
      <alignment wrapText="1"/>
    </xf>
    <xf numFmtId="164" fontId="27" fillId="6" borderId="27" xfId="2" applyNumberFormat="1" applyFont="1" applyFill="1" applyBorder="1" applyAlignment="1">
      <alignment wrapText="1"/>
    </xf>
    <xf numFmtId="164" fontId="27" fillId="6" borderId="28" xfId="2" applyNumberFormat="1" applyFont="1" applyFill="1" applyBorder="1" applyAlignment="1">
      <alignment wrapText="1"/>
    </xf>
    <xf numFmtId="164" fontId="27" fillId="6" borderId="29" xfId="2" applyNumberFormat="1" applyFont="1" applyFill="1" applyBorder="1" applyAlignment="1">
      <alignment wrapText="1"/>
    </xf>
    <xf numFmtId="164" fontId="27" fillId="6" borderId="30" xfId="2" applyNumberFormat="1" applyFont="1" applyFill="1" applyBorder="1" applyAlignment="1">
      <alignment wrapText="1"/>
    </xf>
    <xf numFmtId="164" fontId="27" fillId="6" borderId="4" xfId="2" applyNumberFormat="1" applyFont="1" applyFill="1" applyBorder="1" applyAlignment="1">
      <alignment wrapText="1"/>
    </xf>
    <xf numFmtId="164" fontId="32" fillId="6" borderId="1" xfId="2" applyNumberFormat="1" applyFont="1" applyFill="1" applyBorder="1" applyAlignment="1">
      <alignment wrapText="1"/>
    </xf>
    <xf numFmtId="168" fontId="27" fillId="6" borderId="1" xfId="2" applyNumberFormat="1" applyFont="1" applyFill="1" applyBorder="1" applyAlignment="1">
      <alignment wrapText="1"/>
    </xf>
    <xf numFmtId="0" fontId="28" fillId="6" borderId="0" xfId="2" applyFont="1" applyFill="1" applyAlignment="1">
      <alignment wrapText="1"/>
    </xf>
    <xf numFmtId="164" fontId="34" fillId="11" borderId="1" xfId="2" applyNumberFormat="1" applyFont="1" applyFill="1" applyBorder="1" applyAlignment="1">
      <alignment wrapText="1"/>
    </xf>
    <xf numFmtId="0" fontId="15" fillId="2" borderId="33" xfId="2" applyFont="1" applyFill="1" applyBorder="1" applyAlignment="1">
      <alignment horizontal="right" wrapText="1"/>
    </xf>
    <xf numFmtId="43" fontId="15" fillId="2" borderId="34" xfId="2" applyNumberFormat="1" applyFont="1" applyFill="1" applyBorder="1" applyAlignment="1">
      <alignment wrapText="1"/>
    </xf>
    <xf numFmtId="164" fontId="15" fillId="2" borderId="34" xfId="2" applyNumberFormat="1" applyFont="1" applyFill="1" applyBorder="1" applyAlignment="1">
      <alignment wrapText="1"/>
    </xf>
    <xf numFmtId="164" fontId="29" fillId="2" borderId="34" xfId="2" applyNumberFormat="1" applyFont="1" applyFill="1" applyBorder="1" applyAlignment="1">
      <alignment wrapText="1"/>
    </xf>
    <xf numFmtId="0" fontId="15" fillId="2" borderId="34" xfId="2" applyFont="1" applyFill="1" applyBorder="1" applyAlignment="1">
      <alignment wrapText="1"/>
    </xf>
    <xf numFmtId="0" fontId="15" fillId="0" borderId="38" xfId="6" applyNumberFormat="1" applyFont="1" applyFill="1" applyBorder="1" applyAlignment="1">
      <alignment horizontal="right" wrapText="1"/>
    </xf>
    <xf numFmtId="164" fontId="15" fillId="2" borderId="0" xfId="2" applyNumberFormat="1" applyFont="1" applyFill="1" applyBorder="1" applyAlignment="1">
      <alignment wrapText="1"/>
    </xf>
    <xf numFmtId="164" fontId="28" fillId="2" borderId="0" xfId="2" applyNumberFormat="1" applyFont="1" applyFill="1" applyBorder="1" applyAlignment="1">
      <alignment wrapText="1"/>
    </xf>
    <xf numFmtId="164" fontId="33" fillId="2" borderId="0" xfId="2" applyNumberFormat="1" applyFont="1" applyFill="1" applyBorder="1" applyAlignment="1">
      <alignment wrapText="1"/>
    </xf>
    <xf numFmtId="164" fontId="29" fillId="2" borderId="0" xfId="2" applyNumberFormat="1" applyFont="1" applyFill="1" applyBorder="1" applyAlignment="1">
      <alignment wrapText="1"/>
    </xf>
    <xf numFmtId="0" fontId="15" fillId="2" borderId="0" xfId="2" applyFont="1" applyFill="1" applyBorder="1" applyAlignment="1">
      <alignment horizontal="right" wrapText="1"/>
    </xf>
    <xf numFmtId="10" fontId="40" fillId="2" borderId="0" xfId="2" applyNumberFormat="1" applyFont="1" applyFill="1" applyBorder="1" applyAlignment="1">
      <alignment wrapText="1"/>
    </xf>
    <xf numFmtId="166" fontId="15" fillId="2" borderId="0" xfId="2" applyNumberFormat="1" applyFont="1" applyFill="1" applyBorder="1" applyAlignment="1">
      <alignment horizontal="right" wrapText="1"/>
    </xf>
    <xf numFmtId="0" fontId="15" fillId="6" borderId="0" xfId="2" applyFont="1" applyFill="1" applyAlignment="1">
      <alignment wrapText="1"/>
    </xf>
    <xf numFmtId="43" fontId="0" fillId="0" borderId="0" xfId="0" applyNumberFormat="1"/>
    <xf numFmtId="0" fontId="27" fillId="2" borderId="1" xfId="2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3" fontId="5" fillId="0" borderId="1" xfId="0" applyNumberFormat="1" applyFont="1" applyBorder="1" applyAlignment="1">
      <alignment vertical="top" shrinkToFit="1"/>
    </xf>
    <xf numFmtId="0" fontId="5" fillId="0" borderId="1" xfId="0" applyFont="1" applyBorder="1" applyAlignment="1">
      <alignment horizontal="right" vertical="top" wrapText="1"/>
    </xf>
    <xf numFmtId="43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43" fontId="4" fillId="6" borderId="1" xfId="0" applyNumberFormat="1" applyFont="1" applyFill="1" applyBorder="1" applyAlignment="1">
      <alignment horizontal="center" vertical="center" wrapText="1"/>
    </xf>
    <xf numFmtId="0" fontId="41" fillId="6" borderId="1" xfId="0" applyFont="1" applyFill="1" applyBorder="1" applyAlignment="1">
      <alignment vertical="top" wrapText="1"/>
    </xf>
    <xf numFmtId="43" fontId="41" fillId="6" borderId="1" xfId="0" applyNumberFormat="1" applyFont="1" applyFill="1" applyBorder="1" applyAlignment="1">
      <alignment vertical="top" shrinkToFit="1"/>
    </xf>
    <xf numFmtId="43" fontId="41" fillId="6" borderId="1" xfId="0" applyNumberFormat="1" applyFont="1" applyFill="1" applyBorder="1" applyAlignment="1">
      <alignment horizontal="center" vertical="center" wrapText="1"/>
    </xf>
    <xf numFmtId="43" fontId="6" fillId="6" borderId="0" xfId="0" applyNumberFormat="1" applyFont="1" applyFill="1"/>
    <xf numFmtId="0" fontId="42" fillId="0" borderId="0" xfId="0" applyFont="1"/>
    <xf numFmtId="0" fontId="42" fillId="0" borderId="0" xfId="0" applyFont="1" applyFill="1" applyBorder="1" applyAlignment="1">
      <alignment vertical="top" wrapText="1"/>
    </xf>
    <xf numFmtId="43" fontId="42" fillId="0" borderId="0" xfId="0" applyNumberFormat="1" applyFont="1"/>
    <xf numFmtId="0" fontId="43" fillId="5" borderId="40" xfId="7" applyNumberFormat="1" applyFont="1" applyFill="1" applyBorder="1" applyAlignment="1">
      <alignment horizontal="right" vertical="center"/>
    </xf>
    <xf numFmtId="0" fontId="43" fillId="5" borderId="41" xfId="7" applyNumberFormat="1" applyFont="1" applyFill="1" applyBorder="1" applyAlignment="1">
      <alignment horizontal="right" vertical="center"/>
    </xf>
    <xf numFmtId="169" fontId="43" fillId="5" borderId="40" xfId="7" applyNumberFormat="1" applyFont="1" applyFill="1" applyBorder="1" applyAlignment="1">
      <alignment horizontal="right" vertical="center"/>
    </xf>
    <xf numFmtId="0" fontId="44" fillId="5" borderId="42" xfId="7" applyNumberFormat="1" applyFont="1" applyFill="1" applyBorder="1" applyAlignment="1">
      <alignment horizontal="left" vertical="top"/>
    </xf>
    <xf numFmtId="0" fontId="44" fillId="5" borderId="40" xfId="7" applyNumberFormat="1" applyFont="1" applyFill="1" applyBorder="1" applyAlignment="1">
      <alignment horizontal="right" vertical="center"/>
    </xf>
    <xf numFmtId="0" fontId="44" fillId="5" borderId="41" xfId="7" applyNumberFormat="1" applyFont="1" applyFill="1" applyBorder="1" applyAlignment="1">
      <alignment horizontal="right" vertical="center"/>
    </xf>
    <xf numFmtId="169" fontId="44" fillId="5" borderId="40" xfId="7" applyNumberFormat="1" applyFont="1" applyFill="1" applyBorder="1" applyAlignment="1">
      <alignment horizontal="right" vertical="center"/>
    </xf>
    <xf numFmtId="43" fontId="45" fillId="0" borderId="1" xfId="0" applyNumberFormat="1" applyFont="1" applyBorder="1" applyAlignment="1">
      <alignment vertical="top" shrinkToFit="1"/>
    </xf>
    <xf numFmtId="0" fontId="44" fillId="5" borderId="40" xfId="8" applyNumberFormat="1" applyFont="1" applyFill="1" applyBorder="1" applyAlignment="1">
      <alignment horizontal="right" vertical="center"/>
    </xf>
    <xf numFmtId="0" fontId="44" fillId="5" borderId="41" xfId="8" applyNumberFormat="1" applyFont="1" applyFill="1" applyBorder="1" applyAlignment="1">
      <alignment horizontal="right" vertical="center"/>
    </xf>
    <xf numFmtId="169" fontId="44" fillId="5" borderId="40" xfId="8" applyNumberFormat="1" applyFont="1" applyFill="1" applyBorder="1" applyAlignment="1">
      <alignment horizontal="right" vertical="center"/>
    </xf>
    <xf numFmtId="0" fontId="44" fillId="5" borderId="42" xfId="8" applyNumberFormat="1" applyFont="1" applyFill="1" applyBorder="1" applyAlignment="1">
      <alignment horizontal="left" vertical="top" wrapText="1"/>
    </xf>
    <xf numFmtId="0" fontId="44" fillId="5" borderId="41" xfId="8" applyNumberFormat="1" applyFont="1" applyFill="1" applyBorder="1" applyAlignment="1">
      <alignment horizontal="left" vertical="top" wrapText="1"/>
    </xf>
    <xf numFmtId="0" fontId="44" fillId="6" borderId="41" xfId="8" applyNumberFormat="1" applyFont="1" applyFill="1" applyBorder="1" applyAlignment="1">
      <alignment horizontal="left" vertical="top" wrapText="1"/>
    </xf>
    <xf numFmtId="0" fontId="44" fillId="6" borderId="40" xfId="8" applyNumberFormat="1" applyFont="1" applyFill="1" applyBorder="1" applyAlignment="1">
      <alignment horizontal="right" vertical="center"/>
    </xf>
    <xf numFmtId="0" fontId="44" fillId="6" borderId="41" xfId="8" applyNumberFormat="1" applyFont="1" applyFill="1" applyBorder="1" applyAlignment="1">
      <alignment horizontal="right" vertical="center"/>
    </xf>
    <xf numFmtId="169" fontId="44" fillId="6" borderId="40" xfId="8" applyNumberFormat="1" applyFont="1" applyFill="1" applyBorder="1" applyAlignment="1">
      <alignment horizontal="right" vertical="center"/>
    </xf>
    <xf numFmtId="17" fontId="0" fillId="0" borderId="0" xfId="0" applyNumberFormat="1"/>
    <xf numFmtId="43" fontId="46" fillId="6" borderId="1" xfId="0" applyNumberFormat="1" applyFont="1" applyFill="1" applyBorder="1" applyAlignment="1">
      <alignment vertical="top" shrinkToFit="1"/>
    </xf>
    <xf numFmtId="43" fontId="41" fillId="6" borderId="1" xfId="0" applyNumberFormat="1" applyFont="1" applyFill="1" applyBorder="1" applyAlignment="1">
      <alignment vertical="top" wrapText="1"/>
    </xf>
    <xf numFmtId="0" fontId="41" fillId="12" borderId="1" xfId="0" applyFont="1" applyFill="1" applyBorder="1" applyAlignment="1">
      <alignment vertical="top" wrapText="1"/>
    </xf>
    <xf numFmtId="43" fontId="4" fillId="12" borderId="1" xfId="0" applyNumberFormat="1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43" fontId="47" fillId="6" borderId="1" xfId="0" applyNumberFormat="1" applyFont="1" applyFill="1" applyBorder="1" applyAlignment="1">
      <alignment horizontal="center" vertical="center" wrapText="1"/>
    </xf>
    <xf numFmtId="43" fontId="47" fillId="6" borderId="1" xfId="0" applyNumberFormat="1" applyFont="1" applyFill="1" applyBorder="1" applyAlignment="1">
      <alignment vertical="top" shrinkToFit="1"/>
    </xf>
    <xf numFmtId="43" fontId="47" fillId="12" borderId="1" xfId="0" applyNumberFormat="1" applyFont="1" applyFill="1" applyBorder="1" applyAlignment="1">
      <alignment horizontal="center" vertical="center" wrapText="1"/>
    </xf>
    <xf numFmtId="43" fontId="48" fillId="0" borderId="0" xfId="0" applyNumberFormat="1" applyFont="1"/>
    <xf numFmtId="4" fontId="9" fillId="0" borderId="45" xfId="7" applyNumberFormat="1" applyFont="1" applyBorder="1" applyAlignment="1">
      <alignment horizontal="right" vertical="top"/>
    </xf>
    <xf numFmtId="0" fontId="9" fillId="0" borderId="45" xfId="7" applyNumberFormat="1" applyFont="1" applyBorder="1" applyAlignment="1">
      <alignment horizontal="left" vertical="top" wrapText="1" indent="10"/>
    </xf>
    <xf numFmtId="0" fontId="9" fillId="0" borderId="45" xfId="7" applyNumberFormat="1" applyFont="1" applyBorder="1" applyAlignment="1">
      <alignment horizontal="left" vertical="top" wrapText="1"/>
    </xf>
    <xf numFmtId="2" fontId="9" fillId="0" borderId="45" xfId="7" applyNumberFormat="1" applyFont="1" applyBorder="1" applyAlignment="1">
      <alignment horizontal="right" vertical="top"/>
    </xf>
    <xf numFmtId="4" fontId="56" fillId="13" borderId="45" xfId="7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 wrapText="1"/>
    </xf>
    <xf numFmtId="0" fontId="43" fillId="5" borderId="39" xfId="7" applyNumberFormat="1" applyFont="1" applyFill="1" applyBorder="1" applyAlignment="1">
      <alignment horizontal="left" vertical="top" wrapText="1"/>
    </xf>
    <xf numFmtId="0" fontId="44" fillId="5" borderId="41" xfId="7" applyNumberFormat="1" applyFont="1" applyFill="1" applyBorder="1" applyAlignment="1">
      <alignment horizontal="left" vertical="top" wrapText="1"/>
    </xf>
    <xf numFmtId="0" fontId="44" fillId="5" borderId="39" xfId="8" applyNumberFormat="1" applyFont="1" applyFill="1" applyBorder="1" applyAlignment="1">
      <alignment horizontal="left" vertical="top" wrapText="1"/>
    </xf>
    <xf numFmtId="0" fontId="44" fillId="5" borderId="43" xfId="7" applyNumberFormat="1" applyFont="1" applyFill="1" applyBorder="1" applyAlignment="1">
      <alignment horizontal="left" vertical="top" wrapText="1"/>
    </xf>
    <xf numFmtId="0" fontId="44" fillId="5" borderId="44" xfId="7" applyNumberFormat="1" applyFont="1" applyFill="1" applyBorder="1" applyAlignment="1">
      <alignment horizontal="left" vertical="top" wrapText="1"/>
    </xf>
    <xf numFmtId="0" fontId="34" fillId="0" borderId="2" xfId="6" applyNumberFormat="1" applyFont="1" applyFill="1" applyBorder="1" applyAlignment="1">
      <alignment horizontal="right" wrapText="1"/>
    </xf>
    <xf numFmtId="0" fontId="34" fillId="0" borderId="3" xfId="6" applyNumberFormat="1" applyFont="1" applyFill="1" applyBorder="1" applyAlignment="1">
      <alignment horizontal="right" wrapText="1"/>
    </xf>
    <xf numFmtId="0" fontId="34" fillId="0" borderId="4" xfId="6" applyNumberFormat="1" applyFont="1" applyFill="1" applyBorder="1" applyAlignment="1">
      <alignment horizontal="right" wrapText="1"/>
    </xf>
    <xf numFmtId="164" fontId="34" fillId="2" borderId="1" xfId="2" applyNumberFormat="1" applyFont="1" applyFill="1" applyBorder="1" applyAlignment="1">
      <alignment horizontal="left" wrapText="1"/>
    </xf>
    <xf numFmtId="0" fontId="15" fillId="2" borderId="31" xfId="2" applyFont="1" applyFill="1" applyBorder="1" applyAlignment="1">
      <alignment horizontal="right" wrapText="1"/>
    </xf>
    <xf numFmtId="0" fontId="15" fillId="2" borderId="11" xfId="2" applyFont="1" applyFill="1" applyBorder="1" applyAlignment="1">
      <alignment horizontal="right" wrapText="1"/>
    </xf>
    <xf numFmtId="0" fontId="15" fillId="2" borderId="32" xfId="2" applyFont="1" applyFill="1" applyBorder="1" applyAlignment="1">
      <alignment horizontal="right" wrapText="1"/>
    </xf>
    <xf numFmtId="0" fontId="15" fillId="0" borderId="35" xfId="6" applyNumberFormat="1" applyFont="1" applyFill="1" applyBorder="1" applyAlignment="1">
      <alignment horizontal="right" wrapText="1"/>
    </xf>
    <xf numFmtId="0" fontId="15" fillId="0" borderId="36" xfId="6" applyNumberFormat="1" applyFont="1" applyFill="1" applyBorder="1" applyAlignment="1">
      <alignment horizontal="right" wrapText="1"/>
    </xf>
    <xf numFmtId="0" fontId="15" fillId="0" borderId="37" xfId="6" applyNumberFormat="1" applyFont="1" applyFill="1" applyBorder="1" applyAlignment="1">
      <alignment horizontal="right" wrapText="1"/>
    </xf>
    <xf numFmtId="0" fontId="27" fillId="6" borderId="1" xfId="2" applyFont="1" applyFill="1" applyBorder="1" applyAlignment="1">
      <alignment horizontal="left"/>
    </xf>
    <xf numFmtId="0" fontId="28" fillId="8" borderId="2" xfId="2" applyFont="1" applyFill="1" applyBorder="1" applyAlignment="1">
      <alignment horizontal="right" wrapText="1"/>
    </xf>
    <xf numFmtId="0" fontId="28" fillId="8" borderId="3" xfId="2" applyFont="1" applyFill="1" applyBorder="1" applyAlignment="1">
      <alignment horizontal="right" wrapText="1"/>
    </xf>
    <xf numFmtId="0" fontId="28" fillId="8" borderId="4" xfId="2" applyFont="1" applyFill="1" applyBorder="1" applyAlignment="1">
      <alignment horizontal="right" wrapText="1"/>
    </xf>
    <xf numFmtId="0" fontId="28" fillId="8" borderId="1" xfId="2" applyFont="1" applyFill="1" applyBorder="1" applyAlignment="1">
      <alignment horizontal="left" wrapText="1"/>
    </xf>
    <xf numFmtId="0" fontId="28" fillId="2" borderId="2" xfId="2" applyFont="1" applyFill="1" applyBorder="1" applyAlignment="1">
      <alignment horizontal="right" wrapText="1"/>
    </xf>
    <xf numFmtId="0" fontId="28" fillId="2" borderId="3" xfId="2" applyFont="1" applyFill="1" applyBorder="1" applyAlignment="1">
      <alignment horizontal="right" wrapText="1"/>
    </xf>
    <xf numFmtId="0" fontId="28" fillId="2" borderId="4" xfId="2" applyFont="1" applyFill="1" applyBorder="1" applyAlignment="1">
      <alignment horizontal="right" wrapText="1"/>
    </xf>
    <xf numFmtId="164" fontId="28" fillId="2" borderId="1" xfId="2" applyNumberFormat="1" applyFont="1" applyFill="1" applyBorder="1" applyAlignment="1">
      <alignment horizontal="left" wrapText="1"/>
    </xf>
    <xf numFmtId="0" fontId="34" fillId="11" borderId="2" xfId="6" applyNumberFormat="1" applyFont="1" applyFill="1" applyBorder="1" applyAlignment="1">
      <alignment horizontal="right" wrapText="1"/>
    </xf>
    <xf numFmtId="0" fontId="34" fillId="11" borderId="3" xfId="6" applyNumberFormat="1" applyFont="1" applyFill="1" applyBorder="1" applyAlignment="1">
      <alignment horizontal="right" wrapText="1"/>
    </xf>
    <xf numFmtId="0" fontId="34" fillId="11" borderId="4" xfId="6" applyNumberFormat="1" applyFont="1" applyFill="1" applyBorder="1" applyAlignment="1">
      <alignment horizontal="right" wrapText="1"/>
    </xf>
    <xf numFmtId="164" fontId="28" fillId="11" borderId="1" xfId="2" applyNumberFormat="1" applyFont="1" applyFill="1" applyBorder="1" applyAlignment="1">
      <alignment horizontal="left" wrapText="1"/>
    </xf>
    <xf numFmtId="164" fontId="28" fillId="2" borderId="26" xfId="2" applyNumberFormat="1" applyFont="1" applyFill="1" applyBorder="1" applyAlignment="1">
      <alignment horizontal="center" wrapText="1"/>
    </xf>
    <xf numFmtId="164" fontId="28" fillId="2" borderId="3" xfId="2" applyNumberFormat="1" applyFont="1" applyFill="1" applyBorder="1" applyAlignment="1">
      <alignment horizontal="center" wrapText="1"/>
    </xf>
    <xf numFmtId="164" fontId="28" fillId="2" borderId="4" xfId="2" applyNumberFormat="1" applyFont="1" applyFill="1" applyBorder="1" applyAlignment="1">
      <alignment horizontal="center" wrapText="1"/>
    </xf>
    <xf numFmtId="0" fontId="27" fillId="2" borderId="1" xfId="2" applyFont="1" applyFill="1" applyBorder="1" applyAlignment="1">
      <alignment horizontal="left"/>
    </xf>
    <xf numFmtId="0" fontId="34" fillId="2" borderId="1" xfId="2" applyFont="1" applyFill="1" applyBorder="1" applyAlignment="1">
      <alignment horizontal="right" wrapText="1"/>
    </xf>
    <xf numFmtId="166" fontId="34" fillId="2" borderId="1" xfId="2" applyNumberFormat="1" applyFont="1" applyFill="1" applyBorder="1" applyAlignment="1">
      <alignment horizontal="center" wrapText="1"/>
    </xf>
    <xf numFmtId="168" fontId="15" fillId="2" borderId="2" xfId="2" applyNumberFormat="1" applyFont="1" applyFill="1" applyBorder="1" applyAlignment="1">
      <alignment horizontal="left" wrapText="1"/>
    </xf>
    <xf numFmtId="168" fontId="15" fillId="2" borderId="4" xfId="2" applyNumberFormat="1" applyFont="1" applyFill="1" applyBorder="1" applyAlignment="1">
      <alignment horizontal="left" wrapText="1"/>
    </xf>
    <xf numFmtId="168" fontId="34" fillId="2" borderId="2" xfId="2" applyNumberFormat="1" applyFont="1" applyFill="1" applyBorder="1" applyAlignment="1">
      <alignment horizontal="left" wrapText="1"/>
    </xf>
    <xf numFmtId="168" fontId="34" fillId="2" borderId="4" xfId="2" applyNumberFormat="1" applyFont="1" applyFill="1" applyBorder="1" applyAlignment="1">
      <alignment horizontal="left" wrapText="1"/>
    </xf>
    <xf numFmtId="0" fontId="34" fillId="2" borderId="2" xfId="2" applyFont="1" applyFill="1" applyBorder="1" applyAlignment="1">
      <alignment horizontal="left" wrapText="1"/>
    </xf>
    <xf numFmtId="0" fontId="34" fillId="2" borderId="4" xfId="2" applyFont="1" applyFill="1" applyBorder="1" applyAlignment="1">
      <alignment horizontal="left" wrapText="1"/>
    </xf>
    <xf numFmtId="0" fontId="28" fillId="8" borderId="2" xfId="2" applyFont="1" applyFill="1" applyBorder="1" applyAlignment="1">
      <alignment horizontal="left" wrapText="1"/>
    </xf>
    <xf numFmtId="0" fontId="28" fillId="8" borderId="4" xfId="2" applyFont="1" applyFill="1" applyBorder="1" applyAlignment="1">
      <alignment horizontal="left" wrapText="1"/>
    </xf>
    <xf numFmtId="164" fontId="27" fillId="2" borderId="1" xfId="2" applyNumberFormat="1" applyFont="1" applyFill="1" applyBorder="1" applyAlignment="1">
      <alignment horizontal="center" wrapText="1"/>
    </xf>
    <xf numFmtId="164" fontId="27" fillId="2" borderId="5" xfId="2" applyNumberFormat="1" applyFont="1" applyFill="1" applyBorder="1" applyAlignment="1">
      <alignment horizontal="center" wrapText="1"/>
    </xf>
    <xf numFmtId="164" fontId="27" fillId="2" borderId="13" xfId="2" applyNumberFormat="1" applyFont="1" applyFill="1" applyBorder="1" applyAlignment="1">
      <alignment horizontal="center" wrapText="1"/>
    </xf>
    <xf numFmtId="164" fontId="27" fillId="2" borderId="19" xfId="2" applyNumberFormat="1" applyFont="1" applyFill="1" applyBorder="1" applyAlignment="1">
      <alignment horizontal="center" wrapText="1"/>
    </xf>
    <xf numFmtId="0" fontId="27" fillId="2" borderId="5" xfId="2" applyFont="1" applyFill="1" applyBorder="1" applyAlignment="1">
      <alignment horizontal="center" wrapText="1"/>
    </xf>
    <xf numFmtId="0" fontId="27" fillId="2" borderId="13" xfId="2" applyFont="1" applyFill="1" applyBorder="1" applyAlignment="1">
      <alignment horizontal="center" wrapText="1"/>
    </xf>
    <xf numFmtId="0" fontId="27" fillId="2" borderId="19" xfId="2" applyFont="1" applyFill="1" applyBorder="1" applyAlignment="1">
      <alignment horizontal="center" wrapText="1"/>
    </xf>
    <xf numFmtId="0" fontId="27" fillId="2" borderId="11" xfId="2" applyFont="1" applyFill="1" applyBorder="1" applyAlignment="1">
      <alignment horizontal="center" wrapText="1"/>
    </xf>
    <xf numFmtId="0" fontId="27" fillId="2" borderId="12" xfId="2" applyFont="1" applyFill="1" applyBorder="1" applyAlignment="1">
      <alignment horizontal="center" wrapText="1"/>
    </xf>
    <xf numFmtId="0" fontId="27" fillId="2" borderId="17" xfId="2" applyFont="1" applyFill="1" applyBorder="1" applyAlignment="1">
      <alignment horizontal="center" wrapText="1"/>
    </xf>
    <xf numFmtId="0" fontId="27" fillId="2" borderId="18" xfId="2" applyFont="1" applyFill="1" applyBorder="1" applyAlignment="1">
      <alignment horizontal="center" wrapText="1"/>
    </xf>
    <xf numFmtId="0" fontId="27" fillId="8" borderId="1" xfId="2" applyFont="1" applyFill="1" applyBorder="1" applyAlignment="1">
      <alignment horizontal="left"/>
    </xf>
    <xf numFmtId="167" fontId="27" fillId="2" borderId="8" xfId="2" applyNumberFormat="1" applyFont="1" applyFill="1" applyBorder="1" applyAlignment="1">
      <alignment horizontal="center" wrapText="1"/>
    </xf>
    <xf numFmtId="167" fontId="27" fillId="2" borderId="1" xfId="2" applyNumberFormat="1" applyFont="1" applyFill="1" applyBorder="1" applyAlignment="1">
      <alignment horizontal="center" wrapText="1"/>
    </xf>
    <xf numFmtId="167" fontId="27" fillId="2" borderId="9" xfId="2" applyNumberFormat="1" applyFont="1" applyFill="1" applyBorder="1" applyAlignment="1">
      <alignment horizontal="center" wrapText="1"/>
    </xf>
    <xf numFmtId="167" fontId="27" fillId="2" borderId="13" xfId="2" applyNumberFormat="1" applyFont="1" applyFill="1" applyBorder="1" applyAlignment="1">
      <alignment horizontal="center" wrapText="1"/>
    </xf>
    <xf numFmtId="167" fontId="27" fillId="2" borderId="19" xfId="2" applyNumberFormat="1" applyFont="1" applyFill="1" applyBorder="1" applyAlignment="1">
      <alignment horizontal="center" wrapText="1"/>
    </xf>
    <xf numFmtId="167" fontId="27" fillId="2" borderId="10" xfId="2" applyNumberFormat="1" applyFont="1" applyFill="1" applyBorder="1" applyAlignment="1">
      <alignment horizontal="center" wrapText="1"/>
    </xf>
    <xf numFmtId="167" fontId="27" fillId="2" borderId="16" xfId="2" applyNumberFormat="1" applyFont="1" applyFill="1" applyBorder="1" applyAlignment="1">
      <alignment horizontal="center" wrapText="1"/>
    </xf>
    <xf numFmtId="167" fontId="27" fillId="2" borderId="22" xfId="2" applyNumberFormat="1" applyFont="1" applyFill="1" applyBorder="1" applyAlignment="1">
      <alignment horizontal="center" wrapText="1"/>
    </xf>
    <xf numFmtId="164" fontId="27" fillId="2" borderId="4" xfId="2" applyNumberFormat="1" applyFont="1" applyFill="1" applyBorder="1" applyAlignment="1">
      <alignment horizontal="center" wrapText="1"/>
    </xf>
    <xf numFmtId="164" fontId="32" fillId="2" borderId="1" xfId="2" applyNumberFormat="1" applyFont="1" applyFill="1" applyBorder="1" applyAlignment="1">
      <alignment horizontal="center" wrapText="1"/>
    </xf>
    <xf numFmtId="166" fontId="27" fillId="2" borderId="5" xfId="2" applyNumberFormat="1" applyFont="1" applyFill="1" applyBorder="1" applyAlignment="1">
      <alignment horizontal="center" wrapText="1"/>
    </xf>
    <xf numFmtId="166" fontId="27" fillId="2" borderId="13" xfId="2" applyNumberFormat="1" applyFont="1" applyFill="1" applyBorder="1" applyAlignment="1">
      <alignment horizontal="center" wrapText="1"/>
    </xf>
    <xf numFmtId="166" fontId="27" fillId="2" borderId="19" xfId="2" applyNumberFormat="1" applyFont="1" applyFill="1" applyBorder="1" applyAlignment="1">
      <alignment horizontal="center" wrapText="1"/>
    </xf>
    <xf numFmtId="167" fontId="27" fillId="2" borderId="5" xfId="2" applyNumberFormat="1" applyFont="1" applyFill="1" applyBorder="1" applyAlignment="1">
      <alignment horizontal="center" wrapText="1"/>
    </xf>
    <xf numFmtId="167" fontId="27" fillId="2" borderId="6" xfId="2" applyNumberFormat="1" applyFont="1" applyFill="1" applyBorder="1" applyAlignment="1">
      <alignment horizontal="center" wrapText="1"/>
    </xf>
    <xf numFmtId="167" fontId="27" fillId="2" borderId="14" xfId="2" applyNumberFormat="1" applyFont="1" applyFill="1" applyBorder="1" applyAlignment="1">
      <alignment horizontal="center" wrapText="1"/>
    </xf>
    <xf numFmtId="167" fontId="27" fillId="2" borderId="20" xfId="2" applyNumberFormat="1" applyFont="1" applyFill="1" applyBorder="1" applyAlignment="1">
      <alignment horizontal="center" wrapText="1"/>
    </xf>
    <xf numFmtId="167" fontId="27" fillId="2" borderId="7" xfId="2" applyNumberFormat="1" applyFont="1" applyFill="1" applyBorder="1" applyAlignment="1">
      <alignment horizontal="center" wrapText="1"/>
    </xf>
    <xf numFmtId="167" fontId="27" fillId="2" borderId="15" xfId="2" applyNumberFormat="1" applyFont="1" applyFill="1" applyBorder="1" applyAlignment="1">
      <alignment horizontal="center" wrapText="1"/>
    </xf>
    <xf numFmtId="167" fontId="27" fillId="2" borderId="21" xfId="2" applyNumberFormat="1" applyFont="1" applyFill="1" applyBorder="1" applyAlignment="1">
      <alignment horizontal="center" wrapText="1"/>
    </xf>
    <xf numFmtId="0" fontId="27" fillId="2" borderId="2" xfId="2" applyFont="1" applyFill="1" applyBorder="1" applyAlignment="1">
      <alignment horizontal="right" vertical="center"/>
    </xf>
    <xf numFmtId="0" fontId="27" fillId="2" borderId="4" xfId="2" applyFont="1" applyFill="1" applyBorder="1" applyAlignment="1">
      <alignment horizontal="right" vertical="center"/>
    </xf>
    <xf numFmtId="4" fontId="27" fillId="2" borderId="2" xfId="2" applyNumberFormat="1" applyFont="1" applyFill="1" applyBorder="1" applyAlignment="1">
      <alignment horizontal="right" vertical="center"/>
    </xf>
    <xf numFmtId="4" fontId="27" fillId="2" borderId="3" xfId="2" applyNumberFormat="1" applyFont="1" applyFill="1" applyBorder="1" applyAlignment="1">
      <alignment horizontal="right" vertical="center"/>
    </xf>
    <xf numFmtId="0" fontId="6" fillId="0" borderId="2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right" wrapText="1"/>
    </xf>
    <xf numFmtId="0" fontId="14" fillId="2" borderId="2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9" fillId="0" borderId="45" xfId="7" applyNumberFormat="1" applyFont="1" applyBorder="1" applyAlignment="1">
      <alignment horizontal="left" vertical="top" wrapText="1" indent="8"/>
    </xf>
    <xf numFmtId="0" fontId="56" fillId="13" borderId="45" xfId="7" applyNumberFormat="1" applyFont="1" applyFill="1" applyBorder="1" applyAlignment="1">
      <alignment horizontal="left" vertical="top"/>
    </xf>
    <xf numFmtId="0" fontId="20" fillId="0" borderId="0" xfId="0" applyFont="1"/>
    <xf numFmtId="0" fontId="20" fillId="0" borderId="0" xfId="0" applyFont="1" applyBorder="1"/>
    <xf numFmtId="0" fontId="57" fillId="0" borderId="0" xfId="0" applyFont="1" applyAlignment="1">
      <alignment horizontal="right" wrapText="1"/>
    </xf>
    <xf numFmtId="0" fontId="57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vertical="center" wrapText="1"/>
    </xf>
    <xf numFmtId="0" fontId="58" fillId="0" borderId="1" xfId="0" applyFont="1" applyBorder="1" applyAlignment="1">
      <alignment horizontal="left" vertical="center" wrapText="1"/>
    </xf>
    <xf numFmtId="0" fontId="58" fillId="0" borderId="1" xfId="0" applyFont="1" applyBorder="1" applyAlignment="1">
      <alignment horizontal="center" vertical="center" wrapText="1"/>
    </xf>
    <xf numFmtId="14" fontId="58" fillId="2" borderId="1" xfId="0" applyNumberFormat="1" applyFont="1" applyFill="1" applyBorder="1" applyAlignment="1">
      <alignment horizontal="right" wrapText="1"/>
    </xf>
    <xf numFmtId="14" fontId="58" fillId="0" borderId="1" xfId="0" applyNumberFormat="1" applyFont="1" applyBorder="1" applyAlignment="1">
      <alignment horizontal="right" wrapText="1"/>
    </xf>
    <xf numFmtId="0" fontId="57" fillId="3" borderId="1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right" vertical="center" wrapText="1"/>
    </xf>
    <xf numFmtId="166" fontId="58" fillId="2" borderId="1" xfId="0" applyNumberFormat="1" applyFont="1" applyFill="1" applyBorder="1" applyAlignment="1">
      <alignment wrapText="1"/>
    </xf>
    <xf numFmtId="0" fontId="59" fillId="2" borderId="0" xfId="0" applyFont="1" applyFill="1" applyBorder="1"/>
    <xf numFmtId="0" fontId="60" fillId="0" borderId="0" xfId="0" applyFont="1" applyBorder="1"/>
    <xf numFmtId="0" fontId="60" fillId="0" borderId="0" xfId="0" applyFont="1"/>
    <xf numFmtId="165" fontId="58" fillId="2" borderId="2" xfId="0" applyNumberFormat="1" applyFont="1" applyFill="1" applyBorder="1" applyAlignment="1">
      <alignment wrapText="1"/>
    </xf>
    <xf numFmtId="165" fontId="58" fillId="2" borderId="3" xfId="0" applyNumberFormat="1" applyFont="1" applyFill="1" applyBorder="1" applyAlignment="1">
      <alignment wrapText="1"/>
    </xf>
    <xf numFmtId="165" fontId="58" fillId="2" borderId="4" xfId="0" applyNumberFormat="1" applyFont="1" applyFill="1" applyBorder="1" applyAlignment="1">
      <alignment wrapText="1"/>
    </xf>
    <xf numFmtId="165" fontId="57" fillId="2" borderId="1" xfId="0" applyNumberFormat="1" applyFont="1" applyFill="1" applyBorder="1" applyAlignment="1">
      <alignment wrapText="1"/>
    </xf>
    <xf numFmtId="166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/>
    <xf numFmtId="165" fontId="58" fillId="2" borderId="1" xfId="0" applyNumberFormat="1" applyFont="1" applyFill="1" applyBorder="1" applyAlignment="1">
      <alignment wrapText="1"/>
    </xf>
    <xf numFmtId="164" fontId="58" fillId="0" borderId="1" xfId="0" applyNumberFormat="1" applyFont="1" applyBorder="1" applyAlignment="1">
      <alignment horizontal="center" wrapText="1"/>
    </xf>
    <xf numFmtId="164" fontId="58" fillId="2" borderId="1" xfId="0" applyNumberFormat="1" applyFont="1" applyFill="1" applyBorder="1" applyAlignment="1">
      <alignment horizontal="center" wrapText="1"/>
    </xf>
    <xf numFmtId="49" fontId="58" fillId="0" borderId="1" xfId="0" applyNumberFormat="1" applyFont="1" applyBorder="1" applyAlignment="1">
      <alignment horizontal="left" vertical="center" wrapText="1"/>
    </xf>
    <xf numFmtId="164" fontId="20" fillId="0" borderId="0" xfId="0" applyNumberFormat="1" applyFont="1" applyBorder="1"/>
    <xf numFmtId="0" fontId="58" fillId="2" borderId="1" xfId="0" applyFont="1" applyFill="1" applyBorder="1" applyAlignment="1">
      <alignment horizontal="left" vertical="center" wrapText="1"/>
    </xf>
    <xf numFmtId="0" fontId="58" fillId="2" borderId="1" xfId="0" applyFont="1" applyFill="1" applyBorder="1" applyAlignment="1">
      <alignment horizontal="center" vertical="center" wrapText="1"/>
    </xf>
    <xf numFmtId="0" fontId="20" fillId="2" borderId="0" xfId="0" applyFont="1" applyFill="1" applyBorder="1"/>
    <xf numFmtId="0" fontId="20" fillId="2" borderId="0" xfId="0" applyFont="1" applyFill="1"/>
    <xf numFmtId="165" fontId="58" fillId="2" borderId="1" xfId="0" applyNumberFormat="1" applyFont="1" applyFill="1" applyBorder="1" applyAlignment="1">
      <alignment horizontal="center" wrapText="1"/>
    </xf>
    <xf numFmtId="49" fontId="57" fillId="0" borderId="1" xfId="0" applyNumberFormat="1" applyFont="1" applyBorder="1" applyAlignment="1">
      <alignment horizontal="right" vertical="center" wrapText="1"/>
    </xf>
    <xf numFmtId="0" fontId="57" fillId="0" borderId="1" xfId="0" applyFont="1" applyBorder="1" applyAlignment="1">
      <alignment horizontal="left" vertical="center" wrapText="1"/>
    </xf>
    <xf numFmtId="164" fontId="57" fillId="0" borderId="2" xfId="0" applyNumberFormat="1" applyFont="1" applyBorder="1" applyAlignment="1">
      <alignment horizontal="right" vertical="center" wrapText="1"/>
    </xf>
    <xf numFmtId="164" fontId="57" fillId="0" borderId="3" xfId="0" applyNumberFormat="1" applyFont="1" applyBorder="1" applyAlignment="1">
      <alignment horizontal="right" vertical="center" wrapText="1"/>
    </xf>
    <xf numFmtId="164" fontId="57" fillId="0" borderId="4" xfId="0" applyNumberFormat="1" applyFont="1" applyBorder="1" applyAlignment="1">
      <alignment horizontal="right" vertical="center" wrapText="1"/>
    </xf>
    <xf numFmtId="164" fontId="57" fillId="0" borderId="1" xfId="0" applyNumberFormat="1" applyFont="1" applyBorder="1" applyAlignment="1">
      <alignment horizontal="center" vertical="center" wrapText="1"/>
    </xf>
    <xf numFmtId="164" fontId="20" fillId="0" borderId="0" xfId="0" applyNumberFormat="1" applyFont="1"/>
    <xf numFmtId="49" fontId="58" fillId="4" borderId="2" xfId="0" applyNumberFormat="1" applyFont="1" applyFill="1" applyBorder="1" applyAlignment="1">
      <alignment horizontal="center" vertical="center" wrapText="1"/>
    </xf>
    <xf numFmtId="49" fontId="58" fillId="4" borderId="3" xfId="0" applyNumberFormat="1" applyFont="1" applyFill="1" applyBorder="1" applyAlignment="1">
      <alignment horizontal="center" vertical="center" wrapText="1"/>
    </xf>
    <xf numFmtId="49" fontId="58" fillId="4" borderId="4" xfId="0" applyNumberFormat="1" applyFont="1" applyFill="1" applyBorder="1" applyAlignment="1">
      <alignment horizontal="center" vertical="center" wrapText="1"/>
    </xf>
    <xf numFmtId="49" fontId="58" fillId="0" borderId="1" xfId="0" applyNumberFormat="1" applyFont="1" applyBorder="1" applyAlignment="1">
      <alignment horizontal="right" vertical="center" wrapText="1"/>
    </xf>
    <xf numFmtId="164" fontId="58" fillId="0" borderId="2" xfId="0" applyNumberFormat="1" applyFont="1" applyBorder="1" applyAlignment="1">
      <alignment horizontal="right" vertical="center" wrapText="1"/>
    </xf>
    <xf numFmtId="164" fontId="58" fillId="0" borderId="3" xfId="0" applyNumberFormat="1" applyFont="1" applyBorder="1" applyAlignment="1">
      <alignment horizontal="right" vertical="center" wrapText="1"/>
    </xf>
    <xf numFmtId="164" fontId="58" fillId="0" borderId="4" xfId="0" applyNumberFormat="1" applyFont="1" applyBorder="1" applyAlignment="1">
      <alignment horizontal="right" vertical="center" wrapText="1"/>
    </xf>
    <xf numFmtId="164" fontId="58" fillId="2" borderId="1" xfId="0" applyNumberFormat="1" applyFont="1" applyFill="1" applyBorder="1" applyAlignment="1">
      <alignment horizontal="right" vertical="center" wrapText="1"/>
    </xf>
    <xf numFmtId="43" fontId="58" fillId="0" borderId="2" xfId="0" applyNumberFormat="1" applyFont="1" applyBorder="1" applyAlignment="1">
      <alignment horizontal="right" wrapText="1"/>
    </xf>
    <xf numFmtId="43" fontId="58" fillId="0" borderId="3" xfId="0" applyNumberFormat="1" applyFont="1" applyBorder="1" applyAlignment="1">
      <alignment horizontal="right" wrapText="1"/>
    </xf>
    <xf numFmtId="43" fontId="58" fillId="0" borderId="4" xfId="0" applyNumberFormat="1" applyFont="1" applyBorder="1" applyAlignment="1">
      <alignment horizontal="right" wrapText="1"/>
    </xf>
    <xf numFmtId="164" fontId="58" fillId="0" borderId="1" xfId="0" applyNumberFormat="1" applyFont="1" applyBorder="1" applyAlignment="1">
      <alignment horizontal="right" vertical="center" wrapText="1"/>
    </xf>
    <xf numFmtId="0" fontId="58" fillId="0" borderId="2" xfId="0" applyFont="1" applyBorder="1" applyAlignment="1">
      <alignment horizontal="left" vertical="center" wrapText="1"/>
    </xf>
    <xf numFmtId="0" fontId="58" fillId="0" borderId="4" xfId="0" applyFont="1" applyBorder="1" applyAlignment="1">
      <alignment horizontal="left" vertical="center" wrapText="1"/>
    </xf>
    <xf numFmtId="49" fontId="58" fillId="0" borderId="2" xfId="0" applyNumberFormat="1" applyFont="1" applyBorder="1" applyAlignment="1">
      <alignment horizontal="left" vertical="center" wrapText="1"/>
    </xf>
    <xf numFmtId="49" fontId="58" fillId="0" borderId="3" xfId="0" applyNumberFormat="1" applyFont="1" applyBorder="1" applyAlignment="1">
      <alignment horizontal="left" vertical="center" wrapText="1"/>
    </xf>
    <xf numFmtId="49" fontId="58" fillId="0" borderId="4" xfId="0" applyNumberFormat="1" applyFont="1" applyBorder="1" applyAlignment="1">
      <alignment horizontal="left" vertical="center" wrapText="1"/>
    </xf>
    <xf numFmtId="0" fontId="61" fillId="3" borderId="0" xfId="0" applyFont="1" applyFill="1" applyBorder="1" applyAlignment="1">
      <alignment horizontal="center"/>
    </xf>
    <xf numFmtId="0" fontId="61" fillId="3" borderId="0" xfId="0" applyFont="1" applyFill="1" applyAlignment="1">
      <alignment horizontal="center"/>
    </xf>
    <xf numFmtId="164" fontId="58" fillId="2" borderId="1" xfId="0" applyNumberFormat="1" applyFont="1" applyFill="1" applyBorder="1" applyAlignment="1">
      <alignment horizontal="center" vertical="center" wrapText="1"/>
    </xf>
    <xf numFmtId="164" fontId="58" fillId="0" borderId="1" xfId="0" applyNumberFormat="1" applyFont="1" applyBorder="1" applyAlignment="1">
      <alignment horizontal="center" vertical="center" wrapText="1"/>
    </xf>
    <xf numFmtId="164" fontId="58" fillId="0" borderId="2" xfId="0" applyNumberFormat="1" applyFont="1" applyBorder="1" applyAlignment="1">
      <alignment horizontal="center" vertical="center" wrapText="1"/>
    </xf>
    <xf numFmtId="164" fontId="58" fillId="0" borderId="3" xfId="0" applyNumberFormat="1" applyFont="1" applyBorder="1" applyAlignment="1">
      <alignment horizontal="center" vertical="center" wrapText="1"/>
    </xf>
    <xf numFmtId="164" fontId="58" fillId="0" borderId="4" xfId="0" applyNumberFormat="1" applyFont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0" fontId="57" fillId="0" borderId="1" xfId="0" applyFont="1" applyBorder="1" applyAlignment="1">
      <alignment vertical="center" wrapText="1"/>
    </xf>
    <xf numFmtId="0" fontId="58" fillId="2" borderId="1" xfId="0" applyFont="1" applyFill="1" applyBorder="1" applyAlignment="1">
      <alignment vertical="center" wrapText="1"/>
    </xf>
    <xf numFmtId="164" fontId="58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/>
    <xf numFmtId="164" fontId="58" fillId="2" borderId="1" xfId="0" applyNumberFormat="1" applyFont="1" applyFill="1" applyBorder="1" applyAlignment="1">
      <alignment vertical="center" wrapText="1"/>
    </xf>
    <xf numFmtId="164" fontId="20" fillId="2" borderId="0" xfId="0" applyNumberFormat="1" applyFont="1" applyFill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/>
    <xf numFmtId="0" fontId="57" fillId="0" borderId="17" xfId="0" applyFont="1" applyBorder="1" applyAlignment="1">
      <alignment horizontal="left" wrapText="1"/>
    </xf>
    <xf numFmtId="0" fontId="58" fillId="0" borderId="2" xfId="0" applyFont="1" applyBorder="1" applyAlignment="1">
      <alignment horizontal="right" wrapText="1"/>
    </xf>
    <xf numFmtId="0" fontId="58" fillId="0" borderId="3" xfId="0" applyFont="1" applyBorder="1" applyAlignment="1">
      <alignment horizontal="right" wrapText="1"/>
    </xf>
    <xf numFmtId="0" fontId="58" fillId="0" borderId="4" xfId="0" applyFont="1" applyBorder="1" applyAlignment="1">
      <alignment horizontal="right" wrapText="1"/>
    </xf>
    <xf numFmtId="0" fontId="58" fillId="2" borderId="2" xfId="0" applyFont="1" applyFill="1" applyBorder="1" applyAlignment="1">
      <alignment horizontal="right" wrapText="1"/>
    </xf>
    <xf numFmtId="0" fontId="58" fillId="2" borderId="3" xfId="0" applyFont="1" applyFill="1" applyBorder="1" applyAlignment="1">
      <alignment horizontal="right" wrapText="1"/>
    </xf>
    <xf numFmtId="0" fontId="58" fillId="2" borderId="4" xfId="0" applyFont="1" applyFill="1" applyBorder="1" applyAlignment="1">
      <alignment horizontal="right" wrapText="1"/>
    </xf>
    <xf numFmtId="0" fontId="62" fillId="3" borderId="1" xfId="0" applyFont="1" applyFill="1" applyBorder="1" applyAlignment="1">
      <alignment horizontal="center" wrapText="1"/>
    </xf>
  </cellXfs>
  <cellStyles count="35">
    <cellStyle name="S0" xfId="9"/>
    <cellStyle name="S1" xfId="10"/>
    <cellStyle name="S10" xfId="11"/>
    <cellStyle name="S11" xfId="12"/>
    <cellStyle name="S12" xfId="13"/>
    <cellStyle name="S13" xfId="14"/>
    <cellStyle name="S14" xfId="15"/>
    <cellStyle name="S2" xfId="16"/>
    <cellStyle name="S3" xfId="17"/>
    <cellStyle name="S4" xfId="18"/>
    <cellStyle name="S5" xfId="19"/>
    <cellStyle name="S6" xfId="20"/>
    <cellStyle name="S7" xfId="21"/>
    <cellStyle name="S8" xfId="22"/>
    <cellStyle name="S9" xfId="23"/>
    <cellStyle name="Обычный" xfId="0" builtinId="0"/>
    <cellStyle name="Обычный 2" xfId="24"/>
    <cellStyle name="Обычный 2 2" xfId="25"/>
    <cellStyle name="Обычный 2 2 2" xfId="26"/>
    <cellStyle name="Обычный 2 2 3" xfId="4"/>
    <cellStyle name="Обычный 2 3" xfId="27"/>
    <cellStyle name="Обычный 2 3 2" xfId="2"/>
    <cellStyle name="Обычный 2 3 2 3 2" xfId="6"/>
    <cellStyle name="Обычный 2 3 2 5" xfId="5"/>
    <cellStyle name="Обычный 2 6" xfId="3"/>
    <cellStyle name="Обычный 3" xfId="28"/>
    <cellStyle name="Обычный 4" xfId="29"/>
    <cellStyle name="Обычный 5" xfId="30"/>
    <cellStyle name="Обычный 5 2" xfId="31"/>
    <cellStyle name="Обычный 6" xfId="32"/>
    <cellStyle name="Обычный_КиБ_ОСВ" xfId="8"/>
    <cellStyle name="Обычный_Лист1" xfId="7"/>
    <cellStyle name="Обычный_форма_2.8" xfId="1"/>
    <cellStyle name="Процентный 2" xfId="33"/>
    <cellStyle name="Финансовый 2" xfId="34"/>
  </cellStyles>
  <dxfs count="9"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0</xdr:rowOff>
    </xdr:from>
    <xdr:to>
      <xdr:col>1</xdr:col>
      <xdr:colOff>3036793</xdr:colOff>
      <xdr:row>1</xdr:row>
      <xdr:rowOff>218595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3" y="0"/>
          <a:ext cx="3417793" cy="1854654"/>
        </a:xfrm>
        <a:prstGeom prst="rect">
          <a:avLst/>
        </a:prstGeom>
      </xdr:spPr>
    </xdr:pic>
    <xdr:clientData/>
  </xdr:twoCellAnchor>
  <xdr:twoCellAnchor editAs="oneCell">
    <xdr:from>
      <xdr:col>6</xdr:col>
      <xdr:colOff>347383</xdr:colOff>
      <xdr:row>0</xdr:row>
      <xdr:rowOff>134472</xdr:rowOff>
    </xdr:from>
    <xdr:to>
      <xdr:col>10</xdr:col>
      <xdr:colOff>19382</xdr:colOff>
      <xdr:row>0</xdr:row>
      <xdr:rowOff>1390309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2707" y="134472"/>
          <a:ext cx="4019881" cy="12558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44;&#1052;&#1048;&#1053;&#1048;&#1057;&#1058;&#1056;&#1040;&#1062;&#1048;&#1071;/&#1088;&#1072;&#1089;&#1082;&#1088;&#1099;&#1090;&#1080;&#1077;%20&#1080;&#1085;&#1092;&#1086;&#1088;&#1084;&#1072;&#1094;&#1080;&#1080;/&#1054;&#1087;&#1090;&#1080;&#1082;&#1086;&#1074;,%2034/2016/2016_&#1092;&#1086;&#1088;&#1084;&#1072;%202.8_&#1054;34_&#1087;&#1088;&#1080;&#1083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.finance\y.averina\&#1053;&#1040;&#1063;&#1048;&#1057;&#1051;&#1045;&#1053;&#1048;&#1045;%20&#1046;&#1050;&#1059;\2016\12.16_&#1053;&#1072;&#1095;&#1080;&#1089;&#1083;&#1077;&#1085;&#1080;&#1077;%20&#1046;&#1050;&#1059;_&#1074;&#1086;&#1089;&#1090;&#1072;&#1085;&#1086;&#1074;&#1083;&#1077;&#10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.finance\y.averina\&#1054;&#1058;&#1063;&#1045;&#1058;&#1053;&#1054;&#1057;&#1058;&#1068;_&#1069;&#1082;&#1089;&#1087;&#1083;&#1091;&#1072;&#1090;&#1072;&#1094;&#1080;&#1103;\1.%20&#1054;&#1090;&#1095;&#1077;&#1090;%20&#1087;&#1086;%20&#1101;&#1082;&#1089;&#1087;&#1083;&#1091;&#1072;&#1090;&#1072;&#1094;&#1080;&#1080;\12.16\12.16_&#1055;&#1086;&#1073;&#1077;&#1076;&#1099;,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_2.8"/>
      <sheetName val="начисл_с300"/>
      <sheetName val="12.16_ИП"/>
      <sheetName val="годовая ст-ть"/>
      <sheetName val="12.16_Система_ЭУ"/>
      <sheetName val="09.16_ЛЕГ_ЭЭ"/>
      <sheetName val="08.16_ЛЕГЕНДА 03.16-07.16"/>
      <sheetName val="2016_ТЭ"/>
      <sheetName val="2016_ЭЭ"/>
      <sheetName val="12.16_Система_ТЭ"/>
      <sheetName val="09.16_УК-СИСТЕМА (ТЭ)"/>
      <sheetName val="УК-СИСТЕМА (ЭЭ)"/>
    </sheetNames>
    <sheetDataSet>
      <sheetData sheetId="0"/>
      <sheetData sheetId="1">
        <row r="29">
          <cell r="A29" t="str">
            <v>Текущий ремонт общего имущества в МКД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2014-2015"/>
      <sheetName val="свод_2016"/>
      <sheetName val="12.16_ЖКУ (корр)"/>
      <sheetName val="12.16_ЖКУ"/>
      <sheetName val="11.16_ЖКУ"/>
      <sheetName val="10.16_ЖКУ"/>
      <sheetName val="09.16_ЖКУ"/>
      <sheetName val="08.16_ЖКУ"/>
      <sheetName val="07.16_ЖКУ"/>
      <sheetName val="06.16_ЖКУ"/>
      <sheetName val="05.16_ЖКУ"/>
      <sheetName val="04.16_ЖКУ"/>
      <sheetName val="03.16_ЖКУ"/>
      <sheetName val="02.16_ЖКУ"/>
      <sheetName val="01.16_ЖКУ"/>
      <sheetName val="12.16_Система_КУ"/>
      <sheetName val="12.16_перерасчет КУ"/>
      <sheetName val="12.16_Система_ЭУ"/>
      <sheetName val="12.16_П5"/>
      <sheetName val="12.16._ГК П5"/>
      <sheetName val="12.16_соб О34"/>
      <sheetName val="12.16_ГК О34"/>
      <sheetName val="12.16_ЛЕГ_ЭЭ"/>
      <sheetName val="11.16_соб П5"/>
      <sheetName val="11.16_ГК П5"/>
      <sheetName val="11.16_соб О34"/>
      <sheetName val="11.16_ГК О34"/>
      <sheetName val="11.16_ЛЕГ_ЭЭ "/>
      <sheetName val="10.16_соб О34"/>
      <sheetName val="10.16_ГК О34"/>
      <sheetName val="10.16_ЛЕГ_ЭЭ"/>
      <sheetName val="10.16_собП5"/>
      <sheetName val="10.16_ГК П5"/>
      <sheetName val="09.16_соб О34"/>
      <sheetName val="09.16_ГК О34"/>
      <sheetName val="09.16_ЛЕГ_ЭЭ"/>
      <sheetName val="09.16_ГК П5"/>
      <sheetName val="09.16_собП5"/>
      <sheetName val="08.16_ЛЕГЕНДА 03.16-07.16"/>
      <sheetName val="08.16_собО34"/>
      <sheetName val="08.16_ГК О34"/>
      <sheetName val="08.16_ГК П5"/>
      <sheetName val="08.16_собП5"/>
      <sheetName val="07.16_ГК О34"/>
      <sheetName val="07.16_собО34"/>
      <sheetName val="07.16_ГК П5"/>
      <sheetName val="07.16_собП5"/>
      <sheetName val="06.16_П5"/>
      <sheetName val="06.16_ГК П5"/>
      <sheetName val="06.16_ГК О34"/>
      <sheetName val="06.16_собО34"/>
      <sheetName val="05.16_ГК О34"/>
      <sheetName val="05.16_собО34"/>
      <sheetName val="05.16_ГК П5"/>
      <sheetName val="05.16_соб П5"/>
      <sheetName val="04.16_ГК О34"/>
      <sheetName val="04.16_соб О34"/>
      <sheetName val="04.16_соб П5"/>
      <sheetName val="04.16_ГК П5"/>
      <sheetName val="03.16_соб П5"/>
      <sheetName val="03.16_ГК П5"/>
      <sheetName val="03.16_ГК О34"/>
      <sheetName val="03.16_соб О34"/>
      <sheetName val="02.16_соб П5"/>
      <sheetName val="02.16_ГК П5"/>
      <sheetName val="02.16_ГК П5_кор"/>
      <sheetName val="02.16_ГК О34"/>
      <sheetName val="02.16_соб О34"/>
      <sheetName val="01.16_собП5"/>
      <sheetName val="01.16_ГК П5"/>
      <sheetName val="01.16_соб О34"/>
      <sheetName val="01.16_ГК О34"/>
    </sheetNames>
    <sheetDataSet>
      <sheetData sheetId="0"/>
      <sheetData sheetId="1">
        <row r="73">
          <cell r="D73">
            <v>1415544.65</v>
          </cell>
          <cell r="E73">
            <v>1229977.8899999999</v>
          </cell>
          <cell r="F73">
            <v>1246693.8399999999</v>
          </cell>
          <cell r="G73">
            <v>1184993.6099999999</v>
          </cell>
          <cell r="H73">
            <v>1054294.98</v>
          </cell>
          <cell r="I73">
            <v>1048387.3600000001</v>
          </cell>
          <cell r="J73">
            <v>1279130.4500000002</v>
          </cell>
          <cell r="K73">
            <v>1212017.3699999999</v>
          </cell>
          <cell r="L73">
            <v>1167153.45</v>
          </cell>
          <cell r="M73">
            <v>1314546.9100000001</v>
          </cell>
          <cell r="N73">
            <v>1413592.89</v>
          </cell>
          <cell r="O73">
            <v>1471384.3800000001</v>
          </cell>
          <cell r="P73">
            <v>15037717.780000001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16_ИП"/>
      <sheetName val="12.16_ИП (для собств)"/>
      <sheetName val="фот_2016"/>
      <sheetName val="2016_факт"/>
      <sheetName val="12.16_ФОТ"/>
      <sheetName val="12.16_факт"/>
      <sheetName val="11.16_ИП"/>
      <sheetName val="11.16"/>
      <sheetName val="11.16_ФОТ"/>
      <sheetName val="ФОТ 01.01 по 31.10.16"/>
      <sheetName val="на 31.10_фактУУ"/>
      <sheetName val="тарифы_2016"/>
      <sheetName val="перерасчет"/>
    </sheetNames>
    <sheetDataSet>
      <sheetData sheetId="0">
        <row r="68">
          <cell r="K68">
            <v>2464520.0443208446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0">
          <cell r="P30">
            <v>244416.04320000001</v>
          </cell>
        </row>
        <row r="31">
          <cell r="P31">
            <v>175463.92319999999</v>
          </cell>
        </row>
        <row r="32">
          <cell r="P32">
            <v>17333.334137333335</v>
          </cell>
        </row>
        <row r="33">
          <cell r="P33">
            <v>12000.0000076</v>
          </cell>
        </row>
        <row r="34">
          <cell r="P34">
            <v>10000</v>
          </cell>
        </row>
        <row r="36">
          <cell r="P36">
            <v>4461.96</v>
          </cell>
        </row>
        <row r="37">
          <cell r="P37">
            <v>117600</v>
          </cell>
        </row>
        <row r="38">
          <cell r="P38">
            <v>101261.04000000001</v>
          </cell>
        </row>
        <row r="39">
          <cell r="P39">
            <v>13333.333333333332</v>
          </cell>
        </row>
        <row r="40">
          <cell r="P40">
            <v>239414.75466666665</v>
          </cell>
        </row>
        <row r="42">
          <cell r="P42">
            <v>102697.24799999999</v>
          </cell>
        </row>
        <row r="43">
          <cell r="P43">
            <v>12416.328</v>
          </cell>
        </row>
        <row r="45">
          <cell r="P45">
            <v>256119.88</v>
          </cell>
        </row>
        <row r="46">
          <cell r="P46">
            <v>24000</v>
          </cell>
        </row>
        <row r="47">
          <cell r="P47">
            <v>170811.85066666667</v>
          </cell>
        </row>
        <row r="49">
          <cell r="P49">
            <v>390475.08</v>
          </cell>
        </row>
        <row r="50">
          <cell r="P50">
            <v>39999.999999999993</v>
          </cell>
        </row>
        <row r="54">
          <cell r="P54">
            <v>808444.64</v>
          </cell>
        </row>
        <row r="55">
          <cell r="P55">
            <v>33333.333333333336</v>
          </cell>
        </row>
        <row r="57">
          <cell r="P57">
            <v>808444.64</v>
          </cell>
        </row>
        <row r="58">
          <cell r="P58">
            <v>33333.333333333336</v>
          </cell>
        </row>
        <row r="59">
          <cell r="P59">
            <v>1909720.3279999997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74"/>
  <sheetViews>
    <sheetView tabSelected="1" view="pageBreakPreview" zoomScale="85" zoomScaleNormal="85" zoomScaleSheetLayoutView="85" workbookViewId="0">
      <pane xSplit="9" topLeftCell="J1" activePane="topRight" state="frozen"/>
      <selection pane="topRight" activeCell="E167" sqref="A1:J167"/>
    </sheetView>
  </sheetViews>
  <sheetFormatPr defaultColWidth="26.42578125" defaultRowHeight="12.75" outlineLevelRow="1" x14ac:dyDescent="0.2"/>
  <cols>
    <col min="1" max="1" width="7.28515625" style="409" customWidth="1"/>
    <col min="2" max="2" width="46.5703125" style="409" customWidth="1"/>
    <col min="3" max="3" width="16" style="409" customWidth="1"/>
    <col min="4" max="4" width="15.42578125" style="409" customWidth="1"/>
    <col min="5" max="10" width="16.28515625" style="409" customWidth="1"/>
    <col min="11" max="27" width="26.42578125" style="410"/>
    <col min="28" max="16384" width="26.42578125" style="409"/>
  </cols>
  <sheetData>
    <row r="1" spans="1:27" ht="129" customHeight="1" x14ac:dyDescent="0.2"/>
    <row r="2" spans="1:27" ht="129" customHeight="1" x14ac:dyDescent="0.2">
      <c r="H2" s="411" t="s">
        <v>412</v>
      </c>
      <c r="I2" s="411"/>
      <c r="J2" s="411"/>
    </row>
    <row r="4" spans="1:27" s="410" customFormat="1" ht="30" customHeight="1" x14ac:dyDescent="0.2">
      <c r="A4" s="481" t="s">
        <v>134</v>
      </c>
      <c r="B4" s="481"/>
      <c r="C4" s="481"/>
      <c r="D4" s="481"/>
      <c r="E4" s="481"/>
      <c r="F4" s="481"/>
      <c r="G4" s="481"/>
      <c r="H4" s="481"/>
      <c r="I4" s="481"/>
      <c r="J4" s="481"/>
    </row>
    <row r="5" spans="1:27" s="410" customFormat="1" ht="38.25" x14ac:dyDescent="0.2">
      <c r="A5" s="412" t="s">
        <v>51</v>
      </c>
      <c r="B5" s="413" t="s">
        <v>52</v>
      </c>
      <c r="C5" s="413"/>
      <c r="D5" s="412" t="s">
        <v>53</v>
      </c>
      <c r="E5" s="413" t="s">
        <v>54</v>
      </c>
      <c r="F5" s="413"/>
      <c r="G5" s="413"/>
      <c r="H5" s="413"/>
      <c r="I5" s="413"/>
      <c r="J5" s="413"/>
    </row>
    <row r="6" spans="1:27" ht="29.1" customHeight="1" x14ac:dyDescent="0.2">
      <c r="A6" s="414">
        <v>1</v>
      </c>
      <c r="B6" s="415" t="s">
        <v>55</v>
      </c>
      <c r="C6" s="415"/>
      <c r="D6" s="416" t="s">
        <v>56</v>
      </c>
      <c r="E6" s="417">
        <v>42821</v>
      </c>
      <c r="F6" s="417"/>
      <c r="G6" s="417"/>
      <c r="H6" s="417"/>
      <c r="I6" s="417"/>
      <c r="J6" s="417"/>
    </row>
    <row r="7" spans="1:27" ht="29.1" customHeight="1" x14ac:dyDescent="0.2">
      <c r="A7" s="414">
        <v>2</v>
      </c>
      <c r="B7" s="415" t="s">
        <v>57</v>
      </c>
      <c r="C7" s="415"/>
      <c r="D7" s="416" t="s">
        <v>56</v>
      </c>
      <c r="E7" s="418">
        <v>42370</v>
      </c>
      <c r="F7" s="418"/>
      <c r="G7" s="418"/>
      <c r="H7" s="418"/>
      <c r="I7" s="418"/>
      <c r="J7" s="418"/>
    </row>
    <row r="8" spans="1:27" ht="29.1" customHeight="1" x14ac:dyDescent="0.2">
      <c r="A8" s="414">
        <v>3</v>
      </c>
      <c r="B8" s="415" t="s">
        <v>58</v>
      </c>
      <c r="C8" s="415"/>
      <c r="D8" s="416" t="s">
        <v>56</v>
      </c>
      <c r="E8" s="418">
        <v>42735</v>
      </c>
      <c r="F8" s="418"/>
      <c r="G8" s="418"/>
      <c r="H8" s="418"/>
      <c r="I8" s="418"/>
      <c r="J8" s="418"/>
    </row>
    <row r="9" spans="1:27" ht="15" customHeight="1" x14ac:dyDescent="0.2">
      <c r="A9" s="419" t="s">
        <v>59</v>
      </c>
      <c r="B9" s="419"/>
      <c r="C9" s="419"/>
      <c r="D9" s="419"/>
      <c r="E9" s="419"/>
      <c r="F9" s="419"/>
      <c r="G9" s="419"/>
      <c r="H9" s="419"/>
      <c r="I9" s="419"/>
      <c r="J9" s="419"/>
    </row>
    <row r="10" spans="1:27" ht="30" customHeight="1" x14ac:dyDescent="0.2">
      <c r="A10" s="420">
        <v>4</v>
      </c>
      <c r="B10" s="415" t="s">
        <v>60</v>
      </c>
      <c r="C10" s="415"/>
      <c r="D10" s="416" t="s">
        <v>61</v>
      </c>
      <c r="E10" s="421">
        <v>0</v>
      </c>
      <c r="F10" s="421"/>
      <c r="G10" s="421"/>
      <c r="H10" s="421"/>
      <c r="I10" s="421"/>
      <c r="J10" s="421"/>
    </row>
    <row r="11" spans="1:27" s="424" customFormat="1" ht="30" customHeight="1" x14ac:dyDescent="0.2">
      <c r="A11" s="420">
        <v>5</v>
      </c>
      <c r="B11" s="415" t="s">
        <v>62</v>
      </c>
      <c r="C11" s="415"/>
      <c r="D11" s="416" t="s">
        <v>61</v>
      </c>
      <c r="E11" s="421">
        <v>0</v>
      </c>
      <c r="F11" s="421"/>
      <c r="G11" s="421"/>
      <c r="H11" s="421"/>
      <c r="I11" s="421"/>
      <c r="J11" s="421"/>
      <c r="K11" s="422"/>
      <c r="L11" s="423"/>
      <c r="M11" s="423"/>
      <c r="N11" s="423"/>
      <c r="O11" s="423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23"/>
      <c r="AA11" s="423"/>
    </row>
    <row r="12" spans="1:27" ht="30" customHeight="1" x14ac:dyDescent="0.2">
      <c r="A12" s="420">
        <v>6</v>
      </c>
      <c r="B12" s="415" t="s">
        <v>63</v>
      </c>
      <c r="C12" s="415"/>
      <c r="D12" s="416" t="s">
        <v>61</v>
      </c>
      <c r="E12" s="425">
        <v>806792.01032232214</v>
      </c>
      <c r="F12" s="426"/>
      <c r="G12" s="426"/>
      <c r="H12" s="426"/>
      <c r="I12" s="426"/>
      <c r="J12" s="427"/>
    </row>
    <row r="13" spans="1:27" ht="30" customHeight="1" x14ac:dyDescent="0.2">
      <c r="A13" s="420">
        <v>7</v>
      </c>
      <c r="B13" s="415" t="s">
        <v>64</v>
      </c>
      <c r="C13" s="415"/>
      <c r="D13" s="416" t="s">
        <v>61</v>
      </c>
      <c r="E13" s="428">
        <f>E14+E15+E16</f>
        <v>11617869.389999999</v>
      </c>
      <c r="F13" s="428"/>
      <c r="G13" s="428"/>
      <c r="H13" s="428"/>
      <c r="I13" s="428"/>
      <c r="J13" s="428"/>
      <c r="K13" s="429"/>
      <c r="L13" s="430"/>
    </row>
    <row r="14" spans="1:27" ht="30" customHeight="1" x14ac:dyDescent="0.2">
      <c r="A14" s="420">
        <v>8</v>
      </c>
      <c r="B14" s="415" t="s">
        <v>65</v>
      </c>
      <c r="C14" s="415"/>
      <c r="D14" s="416" t="s">
        <v>61</v>
      </c>
      <c r="E14" s="431">
        <f>начисл.опл.!N4</f>
        <v>8440227.9299999997</v>
      </c>
      <c r="F14" s="431"/>
      <c r="G14" s="431"/>
      <c r="H14" s="431"/>
      <c r="I14" s="431"/>
      <c r="J14" s="431"/>
      <c r="K14" s="429"/>
      <c r="L14" s="430"/>
    </row>
    <row r="15" spans="1:27" ht="30" customHeight="1" x14ac:dyDescent="0.2">
      <c r="A15" s="420">
        <v>9</v>
      </c>
      <c r="B15" s="415" t="s">
        <v>66</v>
      </c>
      <c r="C15" s="415"/>
      <c r="D15" s="416" t="s">
        <v>61</v>
      </c>
      <c r="E15" s="432">
        <f>начисл.опл.!N26</f>
        <v>533195.86</v>
      </c>
      <c r="F15" s="432"/>
      <c r="G15" s="432"/>
      <c r="H15" s="432"/>
      <c r="I15" s="432"/>
      <c r="J15" s="432"/>
      <c r="K15" s="429"/>
      <c r="L15" s="430"/>
    </row>
    <row r="16" spans="1:27" ht="30" customHeight="1" x14ac:dyDescent="0.2">
      <c r="A16" s="420">
        <v>10</v>
      </c>
      <c r="B16" s="415" t="s">
        <v>67</v>
      </c>
      <c r="C16" s="415"/>
      <c r="D16" s="416" t="s">
        <v>61</v>
      </c>
      <c r="E16" s="432">
        <f>начисл.опл.!N28</f>
        <v>2644445.6</v>
      </c>
      <c r="F16" s="432"/>
      <c r="G16" s="432"/>
      <c r="H16" s="432"/>
      <c r="I16" s="432"/>
      <c r="J16" s="432"/>
      <c r="K16" s="429"/>
      <c r="L16" s="430"/>
    </row>
    <row r="17" spans="1:27" ht="44.25" customHeight="1" x14ac:dyDescent="0.2">
      <c r="A17" s="420">
        <v>11</v>
      </c>
      <c r="B17" s="415" t="s">
        <v>68</v>
      </c>
      <c r="C17" s="415"/>
      <c r="D17" s="416" t="s">
        <v>61</v>
      </c>
      <c r="E17" s="433">
        <f>SUM(E18:J22)</f>
        <v>10033112.847541261</v>
      </c>
      <c r="F17" s="433"/>
      <c r="G17" s="433"/>
      <c r="H17" s="433"/>
      <c r="I17" s="433"/>
      <c r="J17" s="433"/>
    </row>
    <row r="18" spans="1:27" ht="30" customHeight="1" x14ac:dyDescent="0.2">
      <c r="A18" s="420">
        <v>12</v>
      </c>
      <c r="B18" s="434" t="s">
        <v>69</v>
      </c>
      <c r="C18" s="434"/>
      <c r="D18" s="416" t="s">
        <v>61</v>
      </c>
      <c r="E18" s="433">
        <f>начисл.опл.!T32</f>
        <v>10033112.847541261</v>
      </c>
      <c r="F18" s="433"/>
      <c r="G18" s="433"/>
      <c r="H18" s="433"/>
      <c r="I18" s="433"/>
      <c r="J18" s="433"/>
      <c r="K18" s="435"/>
    </row>
    <row r="19" spans="1:27" ht="30" customHeight="1" x14ac:dyDescent="0.2">
      <c r="A19" s="420">
        <v>13</v>
      </c>
      <c r="B19" s="434" t="s">
        <v>70</v>
      </c>
      <c r="C19" s="434"/>
      <c r="D19" s="416" t="s">
        <v>61</v>
      </c>
      <c r="E19" s="433">
        <v>0</v>
      </c>
      <c r="F19" s="433"/>
      <c r="G19" s="433"/>
      <c r="H19" s="433"/>
      <c r="I19" s="433"/>
      <c r="J19" s="433"/>
      <c r="K19" s="429"/>
    </row>
    <row r="20" spans="1:27" ht="30" customHeight="1" x14ac:dyDescent="0.2">
      <c r="A20" s="420">
        <v>14</v>
      </c>
      <c r="B20" s="434" t="s">
        <v>71</v>
      </c>
      <c r="C20" s="434"/>
      <c r="D20" s="416" t="s">
        <v>61</v>
      </c>
      <c r="E20" s="432">
        <v>0</v>
      </c>
      <c r="F20" s="432"/>
      <c r="G20" s="432"/>
      <c r="H20" s="432"/>
      <c r="I20" s="432"/>
      <c r="J20" s="432"/>
    </row>
    <row r="21" spans="1:27" ht="30" customHeight="1" x14ac:dyDescent="0.2">
      <c r="A21" s="420">
        <v>15</v>
      </c>
      <c r="B21" s="434" t="s">
        <v>72</v>
      </c>
      <c r="C21" s="434"/>
      <c r="D21" s="416" t="s">
        <v>61</v>
      </c>
      <c r="E21" s="433">
        <v>0</v>
      </c>
      <c r="F21" s="433"/>
      <c r="G21" s="433"/>
      <c r="H21" s="433"/>
      <c r="I21" s="433"/>
      <c r="J21" s="433"/>
    </row>
    <row r="22" spans="1:27" ht="43.5" customHeight="1" x14ac:dyDescent="0.2">
      <c r="A22" s="420">
        <v>16</v>
      </c>
      <c r="B22" s="434" t="s">
        <v>411</v>
      </c>
      <c r="C22" s="434"/>
      <c r="D22" s="416" t="s">
        <v>61</v>
      </c>
      <c r="E22" s="432">
        <v>0</v>
      </c>
      <c r="F22" s="432"/>
      <c r="G22" s="432"/>
      <c r="H22" s="432"/>
      <c r="I22" s="432"/>
      <c r="J22" s="432"/>
    </row>
    <row r="23" spans="1:27" ht="30" customHeight="1" x14ac:dyDescent="0.2">
      <c r="A23" s="420">
        <v>17</v>
      </c>
      <c r="B23" s="415" t="s">
        <v>73</v>
      </c>
      <c r="C23" s="415"/>
      <c r="D23" s="416" t="s">
        <v>61</v>
      </c>
      <c r="E23" s="433">
        <f>E10+E11+E17</f>
        <v>10033112.847541261</v>
      </c>
      <c r="F23" s="433"/>
      <c r="G23" s="433"/>
      <c r="H23" s="433"/>
      <c r="I23" s="433"/>
      <c r="J23" s="433"/>
    </row>
    <row r="24" spans="1:27" ht="30" customHeight="1" x14ac:dyDescent="0.2">
      <c r="A24" s="420">
        <v>18</v>
      </c>
      <c r="B24" s="415" t="s">
        <v>74</v>
      </c>
      <c r="C24" s="415"/>
      <c r="D24" s="416" t="s">
        <v>61</v>
      </c>
      <c r="E24" s="432">
        <v>0</v>
      </c>
      <c r="F24" s="432"/>
      <c r="G24" s="432"/>
      <c r="H24" s="432"/>
      <c r="I24" s="432"/>
      <c r="J24" s="432"/>
    </row>
    <row r="25" spans="1:27" s="439" customFormat="1" ht="30" customHeight="1" x14ac:dyDescent="0.2">
      <c r="A25" s="420">
        <v>19</v>
      </c>
      <c r="B25" s="436" t="s">
        <v>75</v>
      </c>
      <c r="C25" s="436"/>
      <c r="D25" s="437" t="s">
        <v>61</v>
      </c>
      <c r="E25" s="433">
        <f>начисл.опл.!U6+начисл.опл.!U9+начисл.опл.!U10+начисл.опл.!U19+начисл.опл.!U26+начисл.опл.!U36</f>
        <v>702435.89600430173</v>
      </c>
      <c r="F25" s="433"/>
      <c r="G25" s="433"/>
      <c r="H25" s="433"/>
      <c r="I25" s="433"/>
      <c r="J25" s="433"/>
      <c r="K25" s="438"/>
      <c r="L25" s="438"/>
      <c r="M25" s="438"/>
      <c r="N25" s="438"/>
      <c r="O25" s="438"/>
      <c r="P25" s="438"/>
      <c r="Q25" s="438"/>
      <c r="R25" s="438"/>
      <c r="S25" s="438"/>
      <c r="T25" s="438"/>
      <c r="U25" s="438"/>
      <c r="V25" s="438"/>
      <c r="W25" s="438"/>
      <c r="X25" s="438"/>
      <c r="Y25" s="438"/>
      <c r="Z25" s="438"/>
      <c r="AA25" s="438"/>
    </row>
    <row r="26" spans="1:27" ht="45.75" customHeight="1" x14ac:dyDescent="0.2">
      <c r="A26" s="420">
        <v>20</v>
      </c>
      <c r="B26" s="415" t="s">
        <v>76</v>
      </c>
      <c r="C26" s="415"/>
      <c r="D26" s="416" t="s">
        <v>61</v>
      </c>
      <c r="E26" s="440">
        <f>E13-E17</f>
        <v>1584756.5424587373</v>
      </c>
      <c r="F26" s="440"/>
      <c r="G26" s="440"/>
      <c r="H26" s="440"/>
      <c r="I26" s="440"/>
      <c r="J26" s="440"/>
    </row>
    <row r="27" spans="1:27" ht="15" customHeight="1" x14ac:dyDescent="0.2">
      <c r="A27" s="419" t="s">
        <v>77</v>
      </c>
      <c r="B27" s="419"/>
      <c r="C27" s="419"/>
      <c r="D27" s="419"/>
      <c r="E27" s="419"/>
      <c r="F27" s="419"/>
      <c r="G27" s="419"/>
      <c r="H27" s="419"/>
      <c r="I27" s="419"/>
      <c r="J27" s="419"/>
    </row>
    <row r="28" spans="1:27" ht="30" customHeight="1" x14ac:dyDescent="0.2">
      <c r="A28" s="441" t="s">
        <v>78</v>
      </c>
      <c r="B28" s="442" t="s">
        <v>79</v>
      </c>
      <c r="C28" s="442"/>
      <c r="D28" s="412" t="s">
        <v>56</v>
      </c>
      <c r="E28" s="443" t="str">
        <f>начисл.опл.!A4</f>
        <v>Услуги по содержанию общего имущества в многоквартирном доме</v>
      </c>
      <c r="F28" s="444"/>
      <c r="G28" s="444"/>
      <c r="H28" s="444"/>
      <c r="I28" s="444"/>
      <c r="J28" s="445"/>
    </row>
    <row r="29" spans="1:27" ht="30" customHeight="1" x14ac:dyDescent="0.2">
      <c r="A29" s="441" t="s">
        <v>81</v>
      </c>
      <c r="B29" s="442" t="s">
        <v>82</v>
      </c>
      <c r="C29" s="442"/>
      <c r="D29" s="412" t="s">
        <v>61</v>
      </c>
      <c r="E29" s="446">
        <f>начисл.опл.!P4</f>
        <v>7783208.3799999999</v>
      </c>
      <c r="F29" s="446"/>
      <c r="G29" s="446"/>
      <c r="H29" s="446"/>
      <c r="I29" s="446"/>
      <c r="J29" s="446"/>
      <c r="K29" s="435"/>
      <c r="L29" s="447">
        <f>E130+E124+E118+E112+E106+E100+E94+E88+E82+E76+E70+E64+E58+E52+E46+E40+E34</f>
        <v>7783208.3799999999</v>
      </c>
    </row>
    <row r="30" spans="1:27" ht="5.25" customHeight="1" x14ac:dyDescent="0.2">
      <c r="A30" s="448"/>
      <c r="B30" s="449"/>
      <c r="C30" s="449"/>
      <c r="D30" s="449"/>
      <c r="E30" s="449"/>
      <c r="F30" s="449"/>
      <c r="G30" s="449"/>
      <c r="H30" s="449"/>
      <c r="I30" s="449"/>
      <c r="J30" s="450"/>
    </row>
    <row r="31" spans="1:27" ht="30" customHeight="1" x14ac:dyDescent="0.2">
      <c r="A31" s="451" t="s">
        <v>83</v>
      </c>
      <c r="B31" s="415" t="s">
        <v>84</v>
      </c>
      <c r="C31" s="415"/>
      <c r="D31" s="416" t="s">
        <v>56</v>
      </c>
      <c r="E31" s="452" t="str">
        <f>'12.16_ИП'!B25</f>
        <v>Обслуживание УУТЭ,ИТП, ПНС</v>
      </c>
      <c r="F31" s="453"/>
      <c r="G31" s="453"/>
      <c r="H31" s="453"/>
      <c r="I31" s="453"/>
      <c r="J31" s="454"/>
    </row>
    <row r="32" spans="1:27" ht="30" customHeight="1" x14ac:dyDescent="0.2">
      <c r="A32" s="451" t="s">
        <v>85</v>
      </c>
      <c r="B32" s="415" t="s">
        <v>86</v>
      </c>
      <c r="C32" s="415"/>
      <c r="D32" s="416" t="s">
        <v>56</v>
      </c>
      <c r="E32" s="455" t="s">
        <v>87</v>
      </c>
      <c r="F32" s="455"/>
      <c r="G32" s="455"/>
      <c r="H32" s="455"/>
      <c r="I32" s="455"/>
      <c r="J32" s="455"/>
    </row>
    <row r="33" spans="1:10" ht="30" customHeight="1" x14ac:dyDescent="0.2">
      <c r="A33" s="451" t="s">
        <v>88</v>
      </c>
      <c r="B33" s="415" t="s">
        <v>89</v>
      </c>
      <c r="C33" s="415"/>
      <c r="D33" s="416" t="s">
        <v>56</v>
      </c>
      <c r="E33" s="456" t="s">
        <v>90</v>
      </c>
      <c r="F33" s="457"/>
      <c r="G33" s="457"/>
      <c r="H33" s="457"/>
      <c r="I33" s="457"/>
      <c r="J33" s="458"/>
    </row>
    <row r="34" spans="1:10" ht="30" customHeight="1" x14ac:dyDescent="0.2">
      <c r="A34" s="451" t="s">
        <v>91</v>
      </c>
      <c r="B34" s="415" t="s">
        <v>92</v>
      </c>
      <c r="C34" s="415"/>
      <c r="D34" s="416" t="s">
        <v>56</v>
      </c>
      <c r="E34" s="459">
        <f>начисл.опл.!P5</f>
        <v>300000</v>
      </c>
      <c r="F34" s="459"/>
      <c r="G34" s="459"/>
      <c r="H34" s="459"/>
      <c r="I34" s="459"/>
      <c r="J34" s="459"/>
    </row>
    <row r="35" spans="1:10" ht="30" customHeight="1" x14ac:dyDescent="0.2">
      <c r="A35" s="451"/>
      <c r="B35" s="460" t="s">
        <v>93</v>
      </c>
      <c r="C35" s="461"/>
      <c r="D35" s="416" t="s">
        <v>56</v>
      </c>
      <c r="E35" s="482" t="str">
        <f>'12.16_ИП'!C25</f>
        <v>ООО "Энергопульс-сервис"</v>
      </c>
      <c r="F35" s="483"/>
      <c r="G35" s="483"/>
      <c r="H35" s="483"/>
      <c r="I35" s="483"/>
      <c r="J35" s="484"/>
    </row>
    <row r="36" spans="1:10" ht="5.25" customHeight="1" x14ac:dyDescent="0.2">
      <c r="A36" s="448"/>
      <c r="B36" s="449"/>
      <c r="C36" s="449"/>
      <c r="D36" s="449" t="s">
        <v>61</v>
      </c>
      <c r="E36" s="449"/>
      <c r="F36" s="449"/>
      <c r="G36" s="449"/>
      <c r="H36" s="449"/>
      <c r="I36" s="449"/>
      <c r="J36" s="450"/>
    </row>
    <row r="37" spans="1:10" ht="30" customHeight="1" x14ac:dyDescent="0.2">
      <c r="A37" s="451" t="s">
        <v>83</v>
      </c>
      <c r="B37" s="415" t="s">
        <v>84</v>
      </c>
      <c r="C37" s="415"/>
      <c r="D37" s="416" t="s">
        <v>56</v>
      </c>
      <c r="E37" s="452" t="str">
        <f>'12.16_ИП'!B26</f>
        <v xml:space="preserve">Эксплуатация общедомовых приборов учета </v>
      </c>
      <c r="F37" s="453"/>
      <c r="G37" s="453"/>
      <c r="H37" s="453"/>
      <c r="I37" s="453"/>
      <c r="J37" s="454"/>
    </row>
    <row r="38" spans="1:10" s="410" customFormat="1" ht="30" customHeight="1" x14ac:dyDescent="0.2">
      <c r="A38" s="451" t="s">
        <v>85</v>
      </c>
      <c r="B38" s="415" t="s">
        <v>86</v>
      </c>
      <c r="C38" s="415"/>
      <c r="D38" s="416" t="s">
        <v>56</v>
      </c>
      <c r="E38" s="455" t="s">
        <v>383</v>
      </c>
      <c r="F38" s="455"/>
      <c r="G38" s="455"/>
      <c r="H38" s="455"/>
      <c r="I38" s="455"/>
      <c r="J38" s="455"/>
    </row>
    <row r="39" spans="1:10" s="410" customFormat="1" ht="30" customHeight="1" x14ac:dyDescent="0.2">
      <c r="A39" s="451" t="s">
        <v>88</v>
      </c>
      <c r="B39" s="415" t="s">
        <v>89</v>
      </c>
      <c r="C39" s="415"/>
      <c r="D39" s="416" t="s">
        <v>56</v>
      </c>
      <c r="E39" s="456" t="s">
        <v>90</v>
      </c>
      <c r="F39" s="457"/>
      <c r="G39" s="457"/>
      <c r="H39" s="457"/>
      <c r="I39" s="457"/>
      <c r="J39" s="458"/>
    </row>
    <row r="40" spans="1:10" s="410" customFormat="1" ht="30" customHeight="1" x14ac:dyDescent="0.2">
      <c r="A40" s="451" t="s">
        <v>91</v>
      </c>
      <c r="B40" s="415" t="s">
        <v>92</v>
      </c>
      <c r="C40" s="415"/>
      <c r="D40" s="416" t="s">
        <v>56</v>
      </c>
      <c r="E40" s="459">
        <f>начисл.опл.!P6</f>
        <v>2832</v>
      </c>
      <c r="F40" s="459"/>
      <c r="G40" s="459"/>
      <c r="H40" s="459"/>
      <c r="I40" s="459"/>
      <c r="J40" s="459"/>
    </row>
    <row r="41" spans="1:10" s="410" customFormat="1" ht="30" customHeight="1" x14ac:dyDescent="0.2">
      <c r="A41" s="451"/>
      <c r="B41" s="460" t="s">
        <v>93</v>
      </c>
      <c r="C41" s="461"/>
      <c r="D41" s="416" t="s">
        <v>56</v>
      </c>
      <c r="E41" s="485" t="s">
        <v>376</v>
      </c>
      <c r="F41" s="486"/>
      <c r="G41" s="486"/>
      <c r="H41" s="486"/>
      <c r="I41" s="486"/>
      <c r="J41" s="487"/>
    </row>
    <row r="42" spans="1:10" ht="5.25" customHeight="1" x14ac:dyDescent="0.2">
      <c r="A42" s="448"/>
      <c r="B42" s="449"/>
      <c r="C42" s="449"/>
      <c r="D42" s="449" t="s">
        <v>61</v>
      </c>
      <c r="E42" s="449"/>
      <c r="F42" s="449"/>
      <c r="G42" s="449"/>
      <c r="H42" s="449"/>
      <c r="I42" s="449"/>
      <c r="J42" s="450"/>
    </row>
    <row r="43" spans="1:10" s="410" customFormat="1" ht="30" customHeight="1" x14ac:dyDescent="0.2">
      <c r="A43" s="451" t="s">
        <v>83</v>
      </c>
      <c r="B43" s="415" t="s">
        <v>84</v>
      </c>
      <c r="C43" s="415"/>
      <c r="D43" s="416" t="s">
        <v>56</v>
      </c>
      <c r="E43" s="452" t="str">
        <f>'12.16_ИП'!B27</f>
        <v>Обслуживание системы контроля доступа и видеонаблюдения</v>
      </c>
      <c r="F43" s="453"/>
      <c r="G43" s="453"/>
      <c r="H43" s="453"/>
      <c r="I43" s="453"/>
      <c r="J43" s="454"/>
    </row>
    <row r="44" spans="1:10" s="410" customFormat="1" ht="30" customHeight="1" x14ac:dyDescent="0.2">
      <c r="A44" s="451" t="s">
        <v>85</v>
      </c>
      <c r="B44" s="415" t="s">
        <v>86</v>
      </c>
      <c r="C44" s="415"/>
      <c r="D44" s="416" t="s">
        <v>56</v>
      </c>
      <c r="E44" s="455" t="s">
        <v>87</v>
      </c>
      <c r="F44" s="455"/>
      <c r="G44" s="455"/>
      <c r="H44" s="455"/>
      <c r="I44" s="455"/>
      <c r="J44" s="455"/>
    </row>
    <row r="45" spans="1:10" s="410" customFormat="1" ht="30" customHeight="1" x14ac:dyDescent="0.2">
      <c r="A45" s="451" t="s">
        <v>88</v>
      </c>
      <c r="B45" s="415" t="s">
        <v>89</v>
      </c>
      <c r="C45" s="415"/>
      <c r="D45" s="416" t="s">
        <v>56</v>
      </c>
      <c r="E45" s="456" t="s">
        <v>90</v>
      </c>
      <c r="F45" s="457"/>
      <c r="G45" s="457"/>
      <c r="H45" s="457"/>
      <c r="I45" s="457"/>
      <c r="J45" s="458"/>
    </row>
    <row r="46" spans="1:10" s="410" customFormat="1" ht="30" customHeight="1" x14ac:dyDescent="0.2">
      <c r="A46" s="451" t="s">
        <v>91</v>
      </c>
      <c r="B46" s="415" t="s">
        <v>92</v>
      </c>
      <c r="C46" s="415"/>
      <c r="D46" s="416" t="s">
        <v>56</v>
      </c>
      <c r="E46" s="459">
        <f>начисл.опл.!P7</f>
        <v>313830</v>
      </c>
      <c r="F46" s="459"/>
      <c r="G46" s="459"/>
      <c r="H46" s="459"/>
      <c r="I46" s="459"/>
      <c r="J46" s="459"/>
    </row>
    <row r="47" spans="1:10" s="410" customFormat="1" ht="30" customHeight="1" x14ac:dyDescent="0.2">
      <c r="A47" s="451"/>
      <c r="B47" s="460" t="s">
        <v>93</v>
      </c>
      <c r="C47" s="461"/>
      <c r="D47" s="416" t="s">
        <v>56</v>
      </c>
      <c r="E47" s="485" t="str">
        <f>'12.16_ИП'!C27</f>
        <v>ООО "НеваИнвестСтрой"</v>
      </c>
      <c r="F47" s="486"/>
      <c r="G47" s="486"/>
      <c r="H47" s="486"/>
      <c r="I47" s="486"/>
      <c r="J47" s="487"/>
    </row>
    <row r="48" spans="1:10" ht="5.25" customHeight="1" x14ac:dyDescent="0.2">
      <c r="A48" s="448"/>
      <c r="B48" s="449"/>
      <c r="C48" s="449"/>
      <c r="D48" s="449" t="s">
        <v>61</v>
      </c>
      <c r="E48" s="449"/>
      <c r="F48" s="449"/>
      <c r="G48" s="449"/>
      <c r="H48" s="449"/>
      <c r="I48" s="449"/>
      <c r="J48" s="450"/>
    </row>
    <row r="49" spans="1:12" s="410" customFormat="1" ht="30" customHeight="1" x14ac:dyDescent="0.2">
      <c r="A49" s="451" t="s">
        <v>83</v>
      </c>
      <c r="B49" s="415" t="s">
        <v>84</v>
      </c>
      <c r="C49" s="415"/>
      <c r="D49" s="416" t="s">
        <v>56</v>
      </c>
      <c r="E49" s="452" t="str">
        <f>'12.16_ИП'!B28</f>
        <v>Техническое обслуживание и ремонт карусельных дверей</v>
      </c>
      <c r="F49" s="453"/>
      <c r="G49" s="453"/>
      <c r="H49" s="453"/>
      <c r="I49" s="453"/>
      <c r="J49" s="454"/>
    </row>
    <row r="50" spans="1:12" s="410" customFormat="1" ht="30" customHeight="1" x14ac:dyDescent="0.2">
      <c r="A50" s="451" t="s">
        <v>85</v>
      </c>
      <c r="B50" s="415" t="s">
        <v>86</v>
      </c>
      <c r="C50" s="415"/>
      <c r="D50" s="416" t="s">
        <v>56</v>
      </c>
      <c r="E50" s="455" t="s">
        <v>384</v>
      </c>
      <c r="F50" s="455"/>
      <c r="G50" s="455"/>
      <c r="H50" s="455"/>
      <c r="I50" s="455"/>
      <c r="J50" s="455"/>
    </row>
    <row r="51" spans="1:12" s="410" customFormat="1" ht="30" customHeight="1" x14ac:dyDescent="0.2">
      <c r="A51" s="451" t="s">
        <v>88</v>
      </c>
      <c r="B51" s="415" t="s">
        <v>89</v>
      </c>
      <c r="C51" s="415"/>
      <c r="D51" s="416" t="s">
        <v>56</v>
      </c>
      <c r="E51" s="456" t="s">
        <v>90</v>
      </c>
      <c r="F51" s="457"/>
      <c r="G51" s="457"/>
      <c r="H51" s="457"/>
      <c r="I51" s="457"/>
      <c r="J51" s="458"/>
    </row>
    <row r="52" spans="1:12" s="410" customFormat="1" ht="30" customHeight="1" x14ac:dyDescent="0.2">
      <c r="A52" s="451" t="s">
        <v>91</v>
      </c>
      <c r="B52" s="415" t="s">
        <v>92</v>
      </c>
      <c r="C52" s="415"/>
      <c r="D52" s="416" t="s">
        <v>56</v>
      </c>
      <c r="E52" s="459">
        <f>начисл.опл.!P8</f>
        <v>48000</v>
      </c>
      <c r="F52" s="459"/>
      <c r="G52" s="459"/>
      <c r="H52" s="459"/>
      <c r="I52" s="459"/>
      <c r="J52" s="459"/>
    </row>
    <row r="53" spans="1:12" s="410" customFormat="1" ht="30" customHeight="1" x14ac:dyDescent="0.2">
      <c r="A53" s="451"/>
      <c r="B53" s="460" t="s">
        <v>93</v>
      </c>
      <c r="C53" s="461"/>
      <c r="D53" s="416" t="s">
        <v>56</v>
      </c>
      <c r="E53" s="482" t="str">
        <f>'12.16_ИП'!C28</f>
        <v>ООО "АРТ-Сервис"</v>
      </c>
      <c r="F53" s="483"/>
      <c r="G53" s="483"/>
      <c r="H53" s="483"/>
      <c r="I53" s="483"/>
      <c r="J53" s="484"/>
    </row>
    <row r="54" spans="1:12" s="410" customFormat="1" ht="5.25" customHeight="1" x14ac:dyDescent="0.2">
      <c r="A54" s="448"/>
      <c r="B54" s="449"/>
      <c r="C54" s="449"/>
      <c r="D54" s="449" t="s">
        <v>61</v>
      </c>
      <c r="E54" s="449"/>
      <c r="F54" s="449"/>
      <c r="G54" s="449"/>
      <c r="H54" s="449"/>
      <c r="I54" s="449"/>
      <c r="J54" s="450"/>
    </row>
    <row r="55" spans="1:12" s="410" customFormat="1" ht="30" customHeight="1" x14ac:dyDescent="0.2">
      <c r="A55" s="451" t="s">
        <v>83</v>
      </c>
      <c r="B55" s="415" t="s">
        <v>84</v>
      </c>
      <c r="C55" s="415"/>
      <c r="D55" s="416" t="s">
        <v>56</v>
      </c>
      <c r="E55" s="452" t="str">
        <f>'12.16_ИП'!B29</f>
        <v>Обслуживание ворот паркинга</v>
      </c>
      <c r="F55" s="453"/>
      <c r="G55" s="453"/>
      <c r="H55" s="453"/>
      <c r="I55" s="453"/>
      <c r="J55" s="454"/>
    </row>
    <row r="56" spans="1:12" s="410" customFormat="1" ht="30" customHeight="1" x14ac:dyDescent="0.2">
      <c r="A56" s="451" t="s">
        <v>85</v>
      </c>
      <c r="B56" s="415" t="s">
        <v>86</v>
      </c>
      <c r="C56" s="415"/>
      <c r="D56" s="416" t="s">
        <v>56</v>
      </c>
      <c r="E56" s="455" t="s">
        <v>56</v>
      </c>
      <c r="F56" s="455"/>
      <c r="G56" s="455"/>
      <c r="H56" s="455"/>
      <c r="I56" s="455"/>
      <c r="J56" s="455"/>
    </row>
    <row r="57" spans="1:12" s="410" customFormat="1" ht="30" customHeight="1" x14ac:dyDescent="0.2">
      <c r="A57" s="451" t="s">
        <v>88</v>
      </c>
      <c r="B57" s="415" t="s">
        <v>89</v>
      </c>
      <c r="C57" s="415"/>
      <c r="D57" s="416" t="s">
        <v>56</v>
      </c>
      <c r="E57" s="456" t="s">
        <v>90</v>
      </c>
      <c r="F57" s="457"/>
      <c r="G57" s="457"/>
      <c r="H57" s="457"/>
      <c r="I57" s="457"/>
      <c r="J57" s="458"/>
    </row>
    <row r="58" spans="1:12" s="410" customFormat="1" ht="30" customHeight="1" x14ac:dyDescent="0.2">
      <c r="A58" s="451" t="s">
        <v>91</v>
      </c>
      <c r="B58" s="415" t="s">
        <v>92</v>
      </c>
      <c r="C58" s="415"/>
      <c r="D58" s="416" t="s">
        <v>56</v>
      </c>
      <c r="E58" s="459">
        <f>начисл.опл.!P9</f>
        <v>0</v>
      </c>
      <c r="F58" s="459"/>
      <c r="G58" s="459"/>
      <c r="H58" s="459"/>
      <c r="I58" s="459"/>
      <c r="J58" s="459"/>
    </row>
    <row r="59" spans="1:12" s="410" customFormat="1" ht="30" customHeight="1" x14ac:dyDescent="0.2">
      <c r="A59" s="451"/>
      <c r="B59" s="460" t="s">
        <v>93</v>
      </c>
      <c r="C59" s="461"/>
      <c r="D59" s="416" t="s">
        <v>56</v>
      </c>
      <c r="E59" s="482" t="s">
        <v>56</v>
      </c>
      <c r="F59" s="483"/>
      <c r="G59" s="483"/>
      <c r="H59" s="483"/>
      <c r="I59" s="483"/>
      <c r="J59" s="484"/>
    </row>
    <row r="60" spans="1:12" s="410" customFormat="1" ht="5.25" customHeight="1" x14ac:dyDescent="0.2">
      <c r="A60" s="448"/>
      <c r="B60" s="449"/>
      <c r="C60" s="449"/>
      <c r="D60" s="449" t="s">
        <v>61</v>
      </c>
      <c r="E60" s="449"/>
      <c r="F60" s="449"/>
      <c r="G60" s="449"/>
      <c r="H60" s="449"/>
      <c r="I60" s="449"/>
      <c r="J60" s="450"/>
    </row>
    <row r="61" spans="1:12" s="410" customFormat="1" ht="30" customHeight="1" x14ac:dyDescent="0.2">
      <c r="A61" s="451" t="s">
        <v>83</v>
      </c>
      <c r="B61" s="415" t="s">
        <v>84</v>
      </c>
      <c r="C61" s="415"/>
      <c r="D61" s="416" t="s">
        <v>56</v>
      </c>
      <c r="E61" s="452" t="str">
        <f>'12.16_ИП'!B30</f>
        <v>Техническое обслуживание системы вентиляции</v>
      </c>
      <c r="F61" s="453"/>
      <c r="G61" s="453"/>
      <c r="H61" s="453"/>
      <c r="I61" s="453"/>
      <c r="J61" s="454"/>
    </row>
    <row r="62" spans="1:12" s="410" customFormat="1" ht="30" customHeight="1" x14ac:dyDescent="0.2">
      <c r="A62" s="451" t="s">
        <v>85</v>
      </c>
      <c r="B62" s="415" t="s">
        <v>86</v>
      </c>
      <c r="C62" s="415"/>
      <c r="D62" s="416" t="s">
        <v>56</v>
      </c>
      <c r="E62" s="455" t="s">
        <v>87</v>
      </c>
      <c r="F62" s="455"/>
      <c r="G62" s="455"/>
      <c r="H62" s="455"/>
      <c r="I62" s="455"/>
      <c r="J62" s="455"/>
      <c r="L62" s="435"/>
    </row>
    <row r="63" spans="1:12" s="410" customFormat="1" ht="30" customHeight="1" x14ac:dyDescent="0.2">
      <c r="A63" s="451" t="s">
        <v>88</v>
      </c>
      <c r="B63" s="415" t="s">
        <v>89</v>
      </c>
      <c r="C63" s="415"/>
      <c r="D63" s="416" t="s">
        <v>56</v>
      </c>
      <c r="E63" s="456" t="s">
        <v>90</v>
      </c>
      <c r="F63" s="457"/>
      <c r="G63" s="457"/>
      <c r="H63" s="457"/>
      <c r="I63" s="457"/>
      <c r="J63" s="458"/>
    </row>
    <row r="64" spans="1:12" s="410" customFormat="1" ht="30" customHeight="1" x14ac:dyDescent="0.2">
      <c r="A64" s="451" t="s">
        <v>91</v>
      </c>
      <c r="B64" s="415" t="s">
        <v>92</v>
      </c>
      <c r="C64" s="415"/>
      <c r="D64" s="416" t="s">
        <v>56</v>
      </c>
      <c r="E64" s="459">
        <f>начисл.опл.!P10</f>
        <v>103014</v>
      </c>
      <c r="F64" s="459"/>
      <c r="G64" s="459"/>
      <c r="H64" s="459"/>
      <c r="I64" s="459"/>
      <c r="J64" s="459"/>
    </row>
    <row r="65" spans="1:12" s="410" customFormat="1" ht="30" customHeight="1" x14ac:dyDescent="0.2">
      <c r="A65" s="451"/>
      <c r="B65" s="460" t="s">
        <v>93</v>
      </c>
      <c r="C65" s="461"/>
      <c r="D65" s="416" t="s">
        <v>56</v>
      </c>
      <c r="E65" s="482" t="s">
        <v>377</v>
      </c>
      <c r="F65" s="483"/>
      <c r="G65" s="483"/>
      <c r="H65" s="483"/>
      <c r="I65" s="483"/>
      <c r="J65" s="484"/>
    </row>
    <row r="66" spans="1:12" s="410" customFormat="1" ht="5.25" customHeight="1" x14ac:dyDescent="0.2">
      <c r="A66" s="448"/>
      <c r="B66" s="449"/>
      <c r="C66" s="449"/>
      <c r="D66" s="449" t="s">
        <v>61</v>
      </c>
      <c r="E66" s="449"/>
      <c r="F66" s="449"/>
      <c r="G66" s="449"/>
      <c r="H66" s="449"/>
      <c r="I66" s="449"/>
      <c r="J66" s="450"/>
    </row>
    <row r="67" spans="1:12" s="410" customFormat="1" ht="30" customHeight="1" x14ac:dyDescent="0.2">
      <c r="A67" s="451" t="s">
        <v>83</v>
      </c>
      <c r="B67" s="415" t="s">
        <v>84</v>
      </c>
      <c r="C67" s="415"/>
      <c r="D67" s="416" t="s">
        <v>56</v>
      </c>
      <c r="E67" s="452" t="str">
        <f>тарифы_2016_срав!B16</f>
        <v>Обслуживание внутридомовых инженерных систем</v>
      </c>
      <c r="F67" s="453"/>
      <c r="G67" s="453"/>
      <c r="H67" s="453"/>
      <c r="I67" s="453"/>
      <c r="J67" s="454"/>
    </row>
    <row r="68" spans="1:12" s="410" customFormat="1" ht="30" customHeight="1" x14ac:dyDescent="0.2">
      <c r="A68" s="451" t="s">
        <v>85</v>
      </c>
      <c r="B68" s="415" t="s">
        <v>86</v>
      </c>
      <c r="C68" s="415"/>
      <c r="D68" s="416" t="s">
        <v>56</v>
      </c>
      <c r="E68" s="455" t="s">
        <v>96</v>
      </c>
      <c r="F68" s="455"/>
      <c r="G68" s="455"/>
      <c r="H68" s="455"/>
      <c r="I68" s="455"/>
      <c r="J68" s="455"/>
      <c r="L68" s="435"/>
    </row>
    <row r="69" spans="1:12" s="410" customFormat="1" ht="30" customHeight="1" x14ac:dyDescent="0.2">
      <c r="A69" s="451" t="s">
        <v>88</v>
      </c>
      <c r="B69" s="415" t="s">
        <v>89</v>
      </c>
      <c r="C69" s="415"/>
      <c r="D69" s="416" t="s">
        <v>56</v>
      </c>
      <c r="E69" s="456" t="s">
        <v>90</v>
      </c>
      <c r="F69" s="457"/>
      <c r="G69" s="457"/>
      <c r="H69" s="457"/>
      <c r="I69" s="457"/>
      <c r="J69" s="458"/>
    </row>
    <row r="70" spans="1:12" s="410" customFormat="1" ht="30" customHeight="1" x14ac:dyDescent="0.2">
      <c r="A70" s="451" t="s">
        <v>91</v>
      </c>
      <c r="B70" s="415" t="s">
        <v>92</v>
      </c>
      <c r="C70" s="415"/>
      <c r="D70" s="416" t="s">
        <v>56</v>
      </c>
      <c r="E70" s="459">
        <f>начисл.опл.!P11</f>
        <v>1559456.2000000002</v>
      </c>
      <c r="F70" s="459"/>
      <c r="G70" s="459"/>
      <c r="H70" s="459"/>
      <c r="I70" s="459"/>
      <c r="J70" s="459"/>
    </row>
    <row r="71" spans="1:12" s="410" customFormat="1" ht="30" customHeight="1" x14ac:dyDescent="0.2">
      <c r="A71" s="451"/>
      <c r="B71" s="460" t="s">
        <v>93</v>
      </c>
      <c r="C71" s="461"/>
      <c r="D71" s="416" t="s">
        <v>56</v>
      </c>
      <c r="E71" s="482" t="s">
        <v>378</v>
      </c>
      <c r="F71" s="483"/>
      <c r="G71" s="483"/>
      <c r="H71" s="483"/>
      <c r="I71" s="483"/>
      <c r="J71" s="484"/>
    </row>
    <row r="72" spans="1:12" s="410" customFormat="1" ht="5.25" customHeight="1" x14ac:dyDescent="0.2">
      <c r="A72" s="448"/>
      <c r="B72" s="449"/>
      <c r="C72" s="449"/>
      <c r="D72" s="449" t="s">
        <v>61</v>
      </c>
      <c r="E72" s="449"/>
      <c r="F72" s="449"/>
      <c r="G72" s="449"/>
      <c r="H72" s="449"/>
      <c r="I72" s="449"/>
      <c r="J72" s="450"/>
    </row>
    <row r="73" spans="1:12" s="410" customFormat="1" ht="30" customHeight="1" x14ac:dyDescent="0.2">
      <c r="A73" s="451" t="s">
        <v>83</v>
      </c>
      <c r="B73" s="415" t="s">
        <v>84</v>
      </c>
      <c r="C73" s="415"/>
      <c r="D73" s="416" t="s">
        <v>56</v>
      </c>
      <c r="E73" s="452" t="str">
        <f>'12.16_ИП'!B35</f>
        <v xml:space="preserve">Техническое обслуживание лифтов </v>
      </c>
      <c r="F73" s="453"/>
      <c r="G73" s="453"/>
      <c r="H73" s="453"/>
      <c r="I73" s="453"/>
      <c r="J73" s="454"/>
    </row>
    <row r="74" spans="1:12" s="410" customFormat="1" ht="30" customHeight="1" x14ac:dyDescent="0.2">
      <c r="A74" s="451" t="s">
        <v>85</v>
      </c>
      <c r="B74" s="415" t="s">
        <v>86</v>
      </c>
      <c r="C74" s="415"/>
      <c r="D74" s="416" t="s">
        <v>56</v>
      </c>
      <c r="E74" s="455" t="s">
        <v>87</v>
      </c>
      <c r="F74" s="455"/>
      <c r="G74" s="455"/>
      <c r="H74" s="455"/>
      <c r="I74" s="455"/>
      <c r="J74" s="455"/>
      <c r="L74" s="435"/>
    </row>
    <row r="75" spans="1:12" s="410" customFormat="1" ht="30" customHeight="1" x14ac:dyDescent="0.2">
      <c r="A75" s="451" t="s">
        <v>88</v>
      </c>
      <c r="B75" s="415" t="s">
        <v>89</v>
      </c>
      <c r="C75" s="415"/>
      <c r="D75" s="416" t="s">
        <v>56</v>
      </c>
      <c r="E75" s="456" t="s">
        <v>90</v>
      </c>
      <c r="F75" s="457"/>
      <c r="G75" s="457"/>
      <c r="H75" s="457"/>
      <c r="I75" s="457"/>
      <c r="J75" s="458"/>
    </row>
    <row r="76" spans="1:12" s="410" customFormat="1" ht="30" customHeight="1" x14ac:dyDescent="0.2">
      <c r="A76" s="451" t="s">
        <v>91</v>
      </c>
      <c r="B76" s="415" t="s">
        <v>92</v>
      </c>
      <c r="C76" s="415"/>
      <c r="D76" s="416" t="s">
        <v>56</v>
      </c>
      <c r="E76" s="459">
        <f>начисл.опл.!P15</f>
        <v>442481.23</v>
      </c>
      <c r="F76" s="459"/>
      <c r="G76" s="459"/>
      <c r="H76" s="459"/>
      <c r="I76" s="459"/>
      <c r="J76" s="459"/>
    </row>
    <row r="77" spans="1:12" s="410" customFormat="1" ht="30" customHeight="1" x14ac:dyDescent="0.2">
      <c r="A77" s="451"/>
      <c r="B77" s="460" t="s">
        <v>93</v>
      </c>
      <c r="C77" s="461"/>
      <c r="D77" s="416" t="s">
        <v>56</v>
      </c>
      <c r="E77" s="482" t="s">
        <v>379</v>
      </c>
      <c r="F77" s="483"/>
      <c r="G77" s="483"/>
      <c r="H77" s="483"/>
      <c r="I77" s="483"/>
      <c r="J77" s="484"/>
    </row>
    <row r="78" spans="1:12" s="410" customFormat="1" ht="5.25" customHeight="1" x14ac:dyDescent="0.2">
      <c r="A78" s="448"/>
      <c r="B78" s="449"/>
      <c r="C78" s="449"/>
      <c r="D78" s="449" t="s">
        <v>61</v>
      </c>
      <c r="E78" s="449"/>
      <c r="F78" s="449"/>
      <c r="G78" s="449"/>
      <c r="H78" s="449"/>
      <c r="I78" s="449"/>
      <c r="J78" s="450"/>
    </row>
    <row r="79" spans="1:12" s="410" customFormat="1" ht="30" customHeight="1" x14ac:dyDescent="0.2">
      <c r="A79" s="451" t="s">
        <v>83</v>
      </c>
      <c r="B79" s="415" t="s">
        <v>84</v>
      </c>
      <c r="C79" s="415"/>
      <c r="D79" s="416" t="s">
        <v>56</v>
      </c>
      <c r="E79" s="452" t="str">
        <f>'12.16_ИП'!B41</f>
        <v>Техническое обслуживание системы автоматической пожарной сигнализации, системы пожаротушения</v>
      </c>
      <c r="F79" s="453"/>
      <c r="G79" s="453"/>
      <c r="H79" s="453"/>
      <c r="I79" s="453"/>
      <c r="J79" s="454"/>
    </row>
    <row r="80" spans="1:12" s="410" customFormat="1" ht="30" customHeight="1" x14ac:dyDescent="0.2">
      <c r="A80" s="451" t="s">
        <v>85</v>
      </c>
      <c r="B80" s="415" t="s">
        <v>86</v>
      </c>
      <c r="C80" s="415"/>
      <c r="D80" s="416" t="s">
        <v>56</v>
      </c>
      <c r="E80" s="455" t="s">
        <v>87</v>
      </c>
      <c r="F80" s="455"/>
      <c r="G80" s="455"/>
      <c r="H80" s="455"/>
      <c r="I80" s="455"/>
      <c r="J80" s="455"/>
      <c r="L80" s="435"/>
    </row>
    <row r="81" spans="1:12" s="410" customFormat="1" ht="30" customHeight="1" x14ac:dyDescent="0.2">
      <c r="A81" s="451" t="s">
        <v>88</v>
      </c>
      <c r="B81" s="415" t="s">
        <v>89</v>
      </c>
      <c r="C81" s="415"/>
      <c r="D81" s="416" t="s">
        <v>56</v>
      </c>
      <c r="E81" s="456" t="s">
        <v>90</v>
      </c>
      <c r="F81" s="457"/>
      <c r="G81" s="457"/>
      <c r="H81" s="457"/>
      <c r="I81" s="457"/>
      <c r="J81" s="458"/>
    </row>
    <row r="82" spans="1:12" s="410" customFormat="1" ht="30" customHeight="1" x14ac:dyDescent="0.2">
      <c r="A82" s="451" t="s">
        <v>91</v>
      </c>
      <c r="B82" s="415" t="s">
        <v>92</v>
      </c>
      <c r="C82" s="415"/>
      <c r="D82" s="416" t="s">
        <v>56</v>
      </c>
      <c r="E82" s="459">
        <f>начисл.опл.!P16</f>
        <v>223322.88</v>
      </c>
      <c r="F82" s="459"/>
      <c r="G82" s="459"/>
      <c r="H82" s="459"/>
      <c r="I82" s="459"/>
      <c r="J82" s="459"/>
    </row>
    <row r="83" spans="1:12" s="410" customFormat="1" ht="30" customHeight="1" x14ac:dyDescent="0.2">
      <c r="A83" s="451"/>
      <c r="B83" s="460" t="s">
        <v>93</v>
      </c>
      <c r="C83" s="461"/>
      <c r="D83" s="416" t="s">
        <v>56</v>
      </c>
      <c r="E83" s="482" t="s">
        <v>101</v>
      </c>
      <c r="F83" s="483"/>
      <c r="G83" s="483"/>
      <c r="H83" s="483"/>
      <c r="I83" s="483"/>
      <c r="J83" s="484"/>
    </row>
    <row r="84" spans="1:12" s="410" customFormat="1" ht="5.25" customHeight="1" x14ac:dyDescent="0.2">
      <c r="A84" s="448"/>
      <c r="B84" s="449"/>
      <c r="C84" s="449"/>
      <c r="D84" s="449" t="s">
        <v>61</v>
      </c>
      <c r="E84" s="449"/>
      <c r="F84" s="449"/>
      <c r="G84" s="449"/>
      <c r="H84" s="449"/>
      <c r="I84" s="449"/>
      <c r="J84" s="450"/>
    </row>
    <row r="85" spans="1:12" s="410" customFormat="1" ht="30" customHeight="1" x14ac:dyDescent="0.2">
      <c r="A85" s="451" t="s">
        <v>83</v>
      </c>
      <c r="B85" s="415" t="s">
        <v>84</v>
      </c>
      <c r="C85" s="415"/>
      <c r="D85" s="416" t="s">
        <v>56</v>
      </c>
      <c r="E85" s="452" t="str">
        <f>'12.16_ИП'!B46</f>
        <v>Техническое обслуживание объединенных диспетчерских систем</v>
      </c>
      <c r="F85" s="453"/>
      <c r="G85" s="453"/>
      <c r="H85" s="453"/>
      <c r="I85" s="453"/>
      <c r="J85" s="454"/>
    </row>
    <row r="86" spans="1:12" s="410" customFormat="1" ht="30" customHeight="1" x14ac:dyDescent="0.2">
      <c r="A86" s="451" t="s">
        <v>85</v>
      </c>
      <c r="B86" s="415" t="s">
        <v>86</v>
      </c>
      <c r="C86" s="415"/>
      <c r="D86" s="416" t="s">
        <v>56</v>
      </c>
      <c r="E86" s="455" t="s">
        <v>87</v>
      </c>
      <c r="F86" s="455"/>
      <c r="G86" s="455"/>
      <c r="H86" s="455"/>
      <c r="I86" s="455"/>
      <c r="J86" s="455"/>
      <c r="L86" s="435"/>
    </row>
    <row r="87" spans="1:12" s="410" customFormat="1" ht="30" customHeight="1" x14ac:dyDescent="0.2">
      <c r="A87" s="451" t="s">
        <v>88</v>
      </c>
      <c r="B87" s="415" t="s">
        <v>89</v>
      </c>
      <c r="C87" s="415"/>
      <c r="D87" s="416" t="s">
        <v>56</v>
      </c>
      <c r="E87" s="456" t="s">
        <v>90</v>
      </c>
      <c r="F87" s="457"/>
      <c r="G87" s="457"/>
      <c r="H87" s="457"/>
      <c r="I87" s="457"/>
      <c r="J87" s="458"/>
    </row>
    <row r="88" spans="1:12" s="410" customFormat="1" ht="30" customHeight="1" x14ac:dyDescent="0.2">
      <c r="A88" s="451" t="s">
        <v>91</v>
      </c>
      <c r="B88" s="415" t="s">
        <v>92</v>
      </c>
      <c r="C88" s="415"/>
      <c r="D88" s="416" t="s">
        <v>56</v>
      </c>
      <c r="E88" s="459">
        <f>начисл.опл.!P17</f>
        <v>239964</v>
      </c>
      <c r="F88" s="459"/>
      <c r="G88" s="459"/>
      <c r="H88" s="459"/>
      <c r="I88" s="459"/>
      <c r="J88" s="459"/>
    </row>
    <row r="89" spans="1:12" s="410" customFormat="1" ht="30" customHeight="1" x14ac:dyDescent="0.2">
      <c r="A89" s="451"/>
      <c r="B89" s="460" t="s">
        <v>93</v>
      </c>
      <c r="C89" s="461"/>
      <c r="D89" s="416" t="s">
        <v>56</v>
      </c>
      <c r="E89" s="482" t="str">
        <f>'12.16_ИП'!C46</f>
        <v>ООО "СЦ"Эльтон"</v>
      </c>
      <c r="F89" s="483"/>
      <c r="G89" s="483"/>
      <c r="H89" s="483"/>
      <c r="I89" s="483"/>
      <c r="J89" s="484"/>
    </row>
    <row r="90" spans="1:12" s="410" customFormat="1" ht="5.25" customHeight="1" x14ac:dyDescent="0.2">
      <c r="A90" s="448"/>
      <c r="B90" s="449"/>
      <c r="C90" s="449"/>
      <c r="D90" s="449"/>
      <c r="E90" s="449"/>
      <c r="F90" s="449"/>
      <c r="G90" s="449"/>
      <c r="H90" s="449"/>
      <c r="I90" s="449"/>
      <c r="J90" s="450"/>
    </row>
    <row r="91" spans="1:12" s="410" customFormat="1" ht="30" customHeight="1" x14ac:dyDescent="0.2">
      <c r="A91" s="451" t="s">
        <v>83</v>
      </c>
      <c r="B91" s="415" t="s">
        <v>84</v>
      </c>
      <c r="C91" s="415"/>
      <c r="D91" s="416" t="s">
        <v>56</v>
      </c>
      <c r="E91" s="452" t="str">
        <f>'12.16_ИП'!B54</f>
        <v>Уборка холла, лестниц и иных мест общего пользования (МОП)</v>
      </c>
      <c r="F91" s="453"/>
      <c r="G91" s="453"/>
      <c r="H91" s="453"/>
      <c r="I91" s="453"/>
      <c r="J91" s="454"/>
    </row>
    <row r="92" spans="1:12" s="410" customFormat="1" ht="30" customHeight="1" x14ac:dyDescent="0.2">
      <c r="A92" s="451" t="s">
        <v>85</v>
      </c>
      <c r="B92" s="415" t="s">
        <v>86</v>
      </c>
      <c r="C92" s="415"/>
      <c r="D92" s="416" t="s">
        <v>56</v>
      </c>
      <c r="E92" s="455" t="s">
        <v>96</v>
      </c>
      <c r="F92" s="455"/>
      <c r="G92" s="455"/>
      <c r="H92" s="455"/>
      <c r="I92" s="455"/>
      <c r="J92" s="455"/>
      <c r="L92" s="435"/>
    </row>
    <row r="93" spans="1:12" s="410" customFormat="1" ht="30" customHeight="1" x14ac:dyDescent="0.2">
      <c r="A93" s="451" t="s">
        <v>88</v>
      </c>
      <c r="B93" s="415" t="s">
        <v>89</v>
      </c>
      <c r="C93" s="415"/>
      <c r="D93" s="416" t="s">
        <v>56</v>
      </c>
      <c r="E93" s="456" t="s">
        <v>90</v>
      </c>
      <c r="F93" s="457"/>
      <c r="G93" s="457"/>
      <c r="H93" s="457"/>
      <c r="I93" s="457"/>
      <c r="J93" s="458"/>
    </row>
    <row r="94" spans="1:12" s="410" customFormat="1" ht="30" customHeight="1" x14ac:dyDescent="0.2">
      <c r="A94" s="451" t="s">
        <v>91</v>
      </c>
      <c r="B94" s="415" t="s">
        <v>92</v>
      </c>
      <c r="C94" s="415"/>
      <c r="D94" s="416" t="s">
        <v>56</v>
      </c>
      <c r="E94" s="459">
        <f>начисл.опл.!P18</f>
        <v>419852.33500000002</v>
      </c>
      <c r="F94" s="459"/>
      <c r="G94" s="459"/>
      <c r="H94" s="459"/>
      <c r="I94" s="459"/>
      <c r="J94" s="459"/>
    </row>
    <row r="95" spans="1:12" s="410" customFormat="1" ht="30" customHeight="1" x14ac:dyDescent="0.2">
      <c r="A95" s="451"/>
      <c r="B95" s="460" t="s">
        <v>93</v>
      </c>
      <c r="C95" s="461"/>
      <c r="D95" s="416" t="s">
        <v>56</v>
      </c>
      <c r="E95" s="482" t="s">
        <v>385</v>
      </c>
      <c r="F95" s="483"/>
      <c r="G95" s="483"/>
      <c r="H95" s="483"/>
      <c r="I95" s="483"/>
      <c r="J95" s="484"/>
    </row>
    <row r="96" spans="1:12" s="410" customFormat="1" ht="5.25" customHeight="1" x14ac:dyDescent="0.2">
      <c r="A96" s="448"/>
      <c r="B96" s="449"/>
      <c r="C96" s="449"/>
      <c r="D96" s="449" t="s">
        <v>61</v>
      </c>
      <c r="E96" s="449"/>
      <c r="F96" s="449"/>
      <c r="G96" s="449"/>
      <c r="H96" s="449"/>
      <c r="I96" s="449"/>
      <c r="J96" s="450"/>
    </row>
    <row r="97" spans="1:12" s="410" customFormat="1" ht="30" customHeight="1" x14ac:dyDescent="0.2">
      <c r="A97" s="451" t="s">
        <v>83</v>
      </c>
      <c r="B97" s="415" t="s">
        <v>84</v>
      </c>
      <c r="C97" s="415"/>
      <c r="D97" s="416" t="s">
        <v>56</v>
      </c>
      <c r="E97" s="452" t="str">
        <f>'12.16_ИП'!B53</f>
        <v xml:space="preserve">Санитарное содержание придомовой территории </v>
      </c>
      <c r="F97" s="453"/>
      <c r="G97" s="453"/>
      <c r="H97" s="453"/>
      <c r="I97" s="453"/>
      <c r="J97" s="454"/>
    </row>
    <row r="98" spans="1:12" s="410" customFormat="1" ht="30" customHeight="1" x14ac:dyDescent="0.2">
      <c r="A98" s="451" t="s">
        <v>85</v>
      </c>
      <c r="B98" s="415" t="s">
        <v>86</v>
      </c>
      <c r="C98" s="415"/>
      <c r="D98" s="416" t="s">
        <v>56</v>
      </c>
      <c r="E98" s="455" t="s">
        <v>96</v>
      </c>
      <c r="F98" s="455"/>
      <c r="G98" s="455"/>
      <c r="H98" s="455"/>
      <c r="I98" s="455"/>
      <c r="J98" s="455"/>
      <c r="L98" s="435"/>
    </row>
    <row r="99" spans="1:12" s="410" customFormat="1" ht="30" customHeight="1" x14ac:dyDescent="0.2">
      <c r="A99" s="451" t="s">
        <v>88</v>
      </c>
      <c r="B99" s="415" t="s">
        <v>89</v>
      </c>
      <c r="C99" s="415"/>
      <c r="D99" s="416" t="s">
        <v>56</v>
      </c>
      <c r="E99" s="456" t="s">
        <v>90</v>
      </c>
      <c r="F99" s="457"/>
      <c r="G99" s="457"/>
      <c r="H99" s="457"/>
      <c r="I99" s="457"/>
      <c r="J99" s="458"/>
    </row>
    <row r="100" spans="1:12" s="410" customFormat="1" ht="30" customHeight="1" x14ac:dyDescent="0.2">
      <c r="A100" s="451" t="s">
        <v>91</v>
      </c>
      <c r="B100" s="415" t="s">
        <v>92</v>
      </c>
      <c r="C100" s="415"/>
      <c r="D100" s="416" t="s">
        <v>56</v>
      </c>
      <c r="E100" s="459">
        <f>начисл.опл.!P19</f>
        <v>125707.50400000002</v>
      </c>
      <c r="F100" s="459"/>
      <c r="G100" s="459"/>
      <c r="H100" s="459"/>
      <c r="I100" s="459"/>
      <c r="J100" s="459"/>
    </row>
    <row r="101" spans="1:12" s="410" customFormat="1" ht="30" customHeight="1" x14ac:dyDescent="0.2">
      <c r="A101" s="451"/>
      <c r="B101" s="460" t="s">
        <v>93</v>
      </c>
      <c r="C101" s="461"/>
      <c r="D101" s="416" t="s">
        <v>56</v>
      </c>
      <c r="E101" s="482" t="s">
        <v>380</v>
      </c>
      <c r="F101" s="483"/>
      <c r="G101" s="483"/>
      <c r="H101" s="483"/>
      <c r="I101" s="483"/>
      <c r="J101" s="484"/>
    </row>
    <row r="102" spans="1:12" s="410" customFormat="1" ht="5.25" customHeight="1" x14ac:dyDescent="0.2">
      <c r="A102" s="448"/>
      <c r="B102" s="449"/>
      <c r="C102" s="449"/>
      <c r="D102" s="449" t="s">
        <v>61</v>
      </c>
      <c r="E102" s="449"/>
      <c r="F102" s="449"/>
      <c r="G102" s="449"/>
      <c r="H102" s="449"/>
      <c r="I102" s="449"/>
      <c r="J102" s="450"/>
    </row>
    <row r="103" spans="1:12" s="410" customFormat="1" ht="30" customHeight="1" x14ac:dyDescent="0.2">
      <c r="A103" s="451" t="s">
        <v>83</v>
      </c>
      <c r="B103" s="415" t="s">
        <v>84</v>
      </c>
      <c r="C103" s="415"/>
      <c r="D103" s="416" t="s">
        <v>56</v>
      </c>
      <c r="E103" s="452" t="str">
        <f>'12.16_ИП'!B50</f>
        <v>Уборка паркинга</v>
      </c>
      <c r="F103" s="453"/>
      <c r="G103" s="453"/>
      <c r="H103" s="453"/>
      <c r="I103" s="453"/>
      <c r="J103" s="454"/>
    </row>
    <row r="104" spans="1:12" s="410" customFormat="1" ht="30" customHeight="1" x14ac:dyDescent="0.2">
      <c r="A104" s="451" t="s">
        <v>85</v>
      </c>
      <c r="B104" s="415" t="s">
        <v>86</v>
      </c>
      <c r="C104" s="415"/>
      <c r="D104" s="416" t="s">
        <v>56</v>
      </c>
      <c r="E104" s="455" t="s">
        <v>96</v>
      </c>
      <c r="F104" s="455"/>
      <c r="G104" s="455"/>
      <c r="H104" s="455"/>
      <c r="I104" s="455"/>
      <c r="J104" s="455"/>
      <c r="L104" s="435"/>
    </row>
    <row r="105" spans="1:12" s="410" customFormat="1" ht="30" customHeight="1" x14ac:dyDescent="0.2">
      <c r="A105" s="451" t="s">
        <v>88</v>
      </c>
      <c r="B105" s="415" t="s">
        <v>89</v>
      </c>
      <c r="C105" s="415"/>
      <c r="D105" s="416" t="s">
        <v>56</v>
      </c>
      <c r="E105" s="456" t="s">
        <v>90</v>
      </c>
      <c r="F105" s="457"/>
      <c r="G105" s="457"/>
      <c r="H105" s="457"/>
      <c r="I105" s="457"/>
      <c r="J105" s="458"/>
    </row>
    <row r="106" spans="1:12" s="410" customFormat="1" ht="30" customHeight="1" x14ac:dyDescent="0.2">
      <c r="A106" s="451" t="s">
        <v>91</v>
      </c>
      <c r="B106" s="415" t="s">
        <v>92</v>
      </c>
      <c r="C106" s="415"/>
      <c r="D106" s="416" t="s">
        <v>56</v>
      </c>
      <c r="E106" s="459">
        <f>начисл.опл.!P20</f>
        <v>257355.47100000002</v>
      </c>
      <c r="F106" s="459"/>
      <c r="G106" s="459"/>
      <c r="H106" s="459"/>
      <c r="I106" s="459"/>
      <c r="J106" s="459"/>
    </row>
    <row r="107" spans="1:12" s="410" customFormat="1" ht="30" customHeight="1" x14ac:dyDescent="0.2">
      <c r="A107" s="451"/>
      <c r="B107" s="460" t="s">
        <v>93</v>
      </c>
      <c r="C107" s="461"/>
      <c r="D107" s="416" t="s">
        <v>56</v>
      </c>
      <c r="E107" s="482" t="s">
        <v>380</v>
      </c>
      <c r="F107" s="483"/>
      <c r="G107" s="483"/>
      <c r="H107" s="483"/>
      <c r="I107" s="483"/>
      <c r="J107" s="484"/>
    </row>
    <row r="108" spans="1:12" s="410" customFormat="1" ht="5.25" customHeight="1" x14ac:dyDescent="0.2">
      <c r="A108" s="448"/>
      <c r="B108" s="449"/>
      <c r="C108" s="449"/>
      <c r="D108" s="449" t="s">
        <v>61</v>
      </c>
      <c r="E108" s="449"/>
      <c r="F108" s="449"/>
      <c r="G108" s="449"/>
      <c r="H108" s="449"/>
      <c r="I108" s="449"/>
      <c r="J108" s="450"/>
    </row>
    <row r="109" spans="1:12" s="410" customFormat="1" ht="30" customHeight="1" x14ac:dyDescent="0.2">
      <c r="A109" s="451" t="s">
        <v>83</v>
      </c>
      <c r="B109" s="415" t="s">
        <v>84</v>
      </c>
      <c r="C109" s="415"/>
      <c r="D109" s="416" t="s">
        <v>56</v>
      </c>
      <c r="E109" s="452" t="str">
        <f>'12.16_ИП'!B48</f>
        <v>Вывоз и утилизация твердых бытовых отходов</v>
      </c>
      <c r="F109" s="453"/>
      <c r="G109" s="453"/>
      <c r="H109" s="453"/>
      <c r="I109" s="453"/>
      <c r="J109" s="454"/>
    </row>
    <row r="110" spans="1:12" s="410" customFormat="1" ht="30" customHeight="1" x14ac:dyDescent="0.2">
      <c r="A110" s="451" t="s">
        <v>85</v>
      </c>
      <c r="B110" s="415" t="s">
        <v>86</v>
      </c>
      <c r="C110" s="415"/>
      <c r="D110" s="416" t="s">
        <v>56</v>
      </c>
      <c r="E110" s="455" t="s">
        <v>96</v>
      </c>
      <c r="F110" s="455"/>
      <c r="G110" s="455"/>
      <c r="H110" s="455"/>
      <c r="I110" s="455"/>
      <c r="J110" s="455"/>
      <c r="L110" s="435"/>
    </row>
    <row r="111" spans="1:12" s="410" customFormat="1" ht="30" customHeight="1" x14ac:dyDescent="0.2">
      <c r="A111" s="451" t="s">
        <v>88</v>
      </c>
      <c r="B111" s="415" t="s">
        <v>89</v>
      </c>
      <c r="C111" s="415"/>
      <c r="D111" s="416" t="s">
        <v>56</v>
      </c>
      <c r="E111" s="456" t="s">
        <v>90</v>
      </c>
      <c r="F111" s="457"/>
      <c r="G111" s="457"/>
      <c r="H111" s="457"/>
      <c r="I111" s="457"/>
      <c r="J111" s="458"/>
    </row>
    <row r="112" spans="1:12" s="410" customFormat="1" ht="30" customHeight="1" x14ac:dyDescent="0.2">
      <c r="A112" s="451" t="s">
        <v>91</v>
      </c>
      <c r="B112" s="415" t="s">
        <v>92</v>
      </c>
      <c r="C112" s="415"/>
      <c r="D112" s="416" t="s">
        <v>56</v>
      </c>
      <c r="E112" s="459">
        <f>начисл.опл.!P21</f>
        <v>98860.88</v>
      </c>
      <c r="F112" s="459"/>
      <c r="G112" s="459"/>
      <c r="H112" s="459"/>
      <c r="I112" s="459"/>
      <c r="J112" s="459"/>
    </row>
    <row r="113" spans="1:12" s="410" customFormat="1" ht="30" customHeight="1" x14ac:dyDescent="0.2">
      <c r="A113" s="451"/>
      <c r="B113" s="460" t="s">
        <v>93</v>
      </c>
      <c r="C113" s="461"/>
      <c r="D113" s="416" t="s">
        <v>56</v>
      </c>
      <c r="E113" s="482" t="str">
        <f>'12.16_ИП'!C48</f>
        <v>ООО "Производственно-Коммерческая Фирма "Петро-Васт"</v>
      </c>
      <c r="F113" s="483"/>
      <c r="G113" s="483"/>
      <c r="H113" s="483"/>
      <c r="I113" s="483"/>
      <c r="J113" s="484"/>
    </row>
    <row r="114" spans="1:12" s="410" customFormat="1" ht="5.25" customHeight="1" x14ac:dyDescent="0.2">
      <c r="A114" s="448"/>
      <c r="B114" s="449"/>
      <c r="C114" s="449"/>
      <c r="D114" s="449" t="s">
        <v>61</v>
      </c>
      <c r="E114" s="449"/>
      <c r="F114" s="449"/>
      <c r="G114" s="449"/>
      <c r="H114" s="449"/>
      <c r="I114" s="449"/>
      <c r="J114" s="450"/>
    </row>
    <row r="115" spans="1:12" s="410" customFormat="1" ht="30" customHeight="1" x14ac:dyDescent="0.2">
      <c r="A115" s="451" t="s">
        <v>83</v>
      </c>
      <c r="B115" s="415" t="s">
        <v>84</v>
      </c>
      <c r="C115" s="415"/>
      <c r="D115" s="416" t="s">
        <v>56</v>
      </c>
      <c r="E115" s="452" t="str">
        <f>'12.16_ИП'!B49</f>
        <v>Профилактическая дератизация</v>
      </c>
      <c r="F115" s="453"/>
      <c r="G115" s="453"/>
      <c r="H115" s="453"/>
      <c r="I115" s="453"/>
      <c r="J115" s="454"/>
    </row>
    <row r="116" spans="1:12" s="410" customFormat="1" ht="30" customHeight="1" x14ac:dyDescent="0.2">
      <c r="A116" s="451" t="s">
        <v>85</v>
      </c>
      <c r="B116" s="415" t="s">
        <v>86</v>
      </c>
      <c r="C116" s="415"/>
      <c r="D116" s="416" t="s">
        <v>56</v>
      </c>
      <c r="E116" s="455" t="s">
        <v>98</v>
      </c>
      <c r="F116" s="455"/>
      <c r="G116" s="455"/>
      <c r="H116" s="455"/>
      <c r="I116" s="455"/>
      <c r="J116" s="455"/>
      <c r="L116" s="435"/>
    </row>
    <row r="117" spans="1:12" s="410" customFormat="1" ht="30" customHeight="1" x14ac:dyDescent="0.2">
      <c r="A117" s="451" t="s">
        <v>88</v>
      </c>
      <c r="B117" s="415" t="s">
        <v>89</v>
      </c>
      <c r="C117" s="415"/>
      <c r="D117" s="416" t="s">
        <v>56</v>
      </c>
      <c r="E117" s="456" t="s">
        <v>90</v>
      </c>
      <c r="F117" s="457"/>
      <c r="G117" s="457"/>
      <c r="H117" s="457"/>
      <c r="I117" s="457"/>
      <c r="J117" s="458"/>
    </row>
    <row r="118" spans="1:12" s="410" customFormat="1" ht="30" customHeight="1" x14ac:dyDescent="0.2">
      <c r="A118" s="451" t="s">
        <v>91</v>
      </c>
      <c r="B118" s="415" t="s">
        <v>92</v>
      </c>
      <c r="C118" s="415"/>
      <c r="D118" s="416" t="s">
        <v>56</v>
      </c>
      <c r="E118" s="459">
        <f>начисл.опл.!P22</f>
        <v>12854.44</v>
      </c>
      <c r="F118" s="459"/>
      <c r="G118" s="459"/>
      <c r="H118" s="459"/>
      <c r="I118" s="459"/>
      <c r="J118" s="459"/>
    </row>
    <row r="119" spans="1:12" s="410" customFormat="1" ht="30" customHeight="1" x14ac:dyDescent="0.2">
      <c r="A119" s="451"/>
      <c r="B119" s="460" t="s">
        <v>93</v>
      </c>
      <c r="C119" s="461"/>
      <c r="D119" s="416" t="s">
        <v>56</v>
      </c>
      <c r="E119" s="485" t="str">
        <f>'12.16_ИП'!C49</f>
        <v>АО "Станция профилактической дезинфекции"</v>
      </c>
      <c r="F119" s="486"/>
      <c r="G119" s="486"/>
      <c r="H119" s="486"/>
      <c r="I119" s="486"/>
      <c r="J119" s="487"/>
    </row>
    <row r="120" spans="1:12" s="410" customFormat="1" ht="6" customHeight="1" x14ac:dyDescent="0.2">
      <c r="A120" s="448"/>
      <c r="B120" s="449"/>
      <c r="C120" s="449"/>
      <c r="D120" s="449" t="s">
        <v>61</v>
      </c>
      <c r="E120" s="449"/>
      <c r="F120" s="449"/>
      <c r="G120" s="449"/>
      <c r="H120" s="449"/>
      <c r="I120" s="449"/>
      <c r="J120" s="450"/>
    </row>
    <row r="121" spans="1:12" s="410" customFormat="1" ht="30" customHeight="1" x14ac:dyDescent="0.2">
      <c r="A121" s="451" t="s">
        <v>83</v>
      </c>
      <c r="B121" s="415" t="s">
        <v>84</v>
      </c>
      <c r="C121" s="415"/>
      <c r="D121" s="416" t="s">
        <v>56</v>
      </c>
      <c r="E121" s="452" t="str">
        <f>'12.16_ИП'!B57</f>
        <v>Круглосуточная служба охраны общего имущества</v>
      </c>
      <c r="F121" s="453"/>
      <c r="G121" s="453"/>
      <c r="H121" s="453"/>
      <c r="I121" s="453"/>
      <c r="J121" s="454"/>
    </row>
    <row r="122" spans="1:12" s="410" customFormat="1" ht="30" customHeight="1" x14ac:dyDescent="0.2">
      <c r="A122" s="451" t="s">
        <v>85</v>
      </c>
      <c r="B122" s="415" t="s">
        <v>86</v>
      </c>
      <c r="C122" s="415"/>
      <c r="D122" s="416" t="s">
        <v>56</v>
      </c>
      <c r="E122" s="455" t="s">
        <v>102</v>
      </c>
      <c r="F122" s="455"/>
      <c r="G122" s="455"/>
      <c r="H122" s="455"/>
      <c r="I122" s="455"/>
      <c r="J122" s="455"/>
      <c r="L122" s="435"/>
    </row>
    <row r="123" spans="1:12" s="410" customFormat="1" ht="30" customHeight="1" x14ac:dyDescent="0.2">
      <c r="A123" s="451" t="s">
        <v>88</v>
      </c>
      <c r="B123" s="415" t="s">
        <v>89</v>
      </c>
      <c r="C123" s="415"/>
      <c r="D123" s="416" t="s">
        <v>56</v>
      </c>
      <c r="E123" s="456" t="s">
        <v>90</v>
      </c>
      <c r="F123" s="457"/>
      <c r="G123" s="457"/>
      <c r="H123" s="457"/>
      <c r="I123" s="457"/>
      <c r="J123" s="458"/>
    </row>
    <row r="124" spans="1:12" s="410" customFormat="1" ht="30" customHeight="1" x14ac:dyDescent="0.2">
      <c r="A124" s="451" t="s">
        <v>91</v>
      </c>
      <c r="B124" s="415" t="s">
        <v>92</v>
      </c>
      <c r="C124" s="415"/>
      <c r="D124" s="416" t="s">
        <v>56</v>
      </c>
      <c r="E124" s="459">
        <f>начисл.опл.!P23</f>
        <v>1798104.33</v>
      </c>
      <c r="F124" s="459"/>
      <c r="G124" s="459"/>
      <c r="H124" s="459"/>
      <c r="I124" s="459"/>
      <c r="J124" s="459"/>
    </row>
    <row r="125" spans="1:12" s="410" customFormat="1" ht="30" customHeight="1" x14ac:dyDescent="0.2">
      <c r="A125" s="451"/>
      <c r="B125" s="460" t="s">
        <v>93</v>
      </c>
      <c r="C125" s="461"/>
      <c r="D125" s="416" t="s">
        <v>56</v>
      </c>
      <c r="E125" s="482" t="str">
        <f>'12.16_ИП'!C57</f>
        <v>ООО "ОП "ЛВБ-Мониторинг-А"</v>
      </c>
      <c r="F125" s="483"/>
      <c r="G125" s="483"/>
      <c r="H125" s="483"/>
      <c r="I125" s="483"/>
      <c r="J125" s="484"/>
    </row>
    <row r="126" spans="1:12" s="410" customFormat="1" ht="5.25" customHeight="1" x14ac:dyDescent="0.2">
      <c r="A126" s="448"/>
      <c r="B126" s="449"/>
      <c r="C126" s="449"/>
      <c r="D126" s="449" t="s">
        <v>61</v>
      </c>
      <c r="E126" s="449"/>
      <c r="F126" s="449"/>
      <c r="G126" s="449"/>
      <c r="H126" s="449"/>
      <c r="I126" s="449"/>
      <c r="J126" s="450"/>
    </row>
    <row r="127" spans="1:12" s="410" customFormat="1" ht="30" customHeight="1" x14ac:dyDescent="0.2">
      <c r="A127" s="451" t="s">
        <v>83</v>
      </c>
      <c r="B127" s="415" t="s">
        <v>84</v>
      </c>
      <c r="C127" s="415"/>
      <c r="D127" s="416" t="s">
        <v>56</v>
      </c>
      <c r="E127" s="452" t="str">
        <f>'12.16_ИП'!B64</f>
        <v>Круглосуточная служба диспетчер-консьерж</v>
      </c>
      <c r="F127" s="453"/>
      <c r="G127" s="453"/>
      <c r="H127" s="453"/>
      <c r="I127" s="453"/>
      <c r="J127" s="454"/>
    </row>
    <row r="128" spans="1:12" s="410" customFormat="1" ht="30" customHeight="1" x14ac:dyDescent="0.2">
      <c r="A128" s="451" t="s">
        <v>85</v>
      </c>
      <c r="B128" s="415" t="s">
        <v>86</v>
      </c>
      <c r="C128" s="415"/>
      <c r="D128" s="416" t="s">
        <v>56</v>
      </c>
      <c r="E128" s="455" t="s">
        <v>102</v>
      </c>
      <c r="F128" s="455"/>
      <c r="G128" s="455"/>
      <c r="H128" s="455"/>
      <c r="I128" s="455"/>
      <c r="J128" s="455"/>
      <c r="L128" s="435"/>
    </row>
    <row r="129" spans="1:27" s="410" customFormat="1" ht="30" customHeight="1" x14ac:dyDescent="0.2">
      <c r="A129" s="451" t="s">
        <v>88</v>
      </c>
      <c r="B129" s="415" t="s">
        <v>89</v>
      </c>
      <c r="C129" s="415"/>
      <c r="D129" s="416" t="s">
        <v>56</v>
      </c>
      <c r="E129" s="456" t="s">
        <v>90</v>
      </c>
      <c r="F129" s="457"/>
      <c r="G129" s="457"/>
      <c r="H129" s="457"/>
      <c r="I129" s="457"/>
      <c r="J129" s="458"/>
    </row>
    <row r="130" spans="1:27" s="410" customFormat="1" ht="30" customHeight="1" x14ac:dyDescent="0.2">
      <c r="A130" s="451" t="s">
        <v>91</v>
      </c>
      <c r="B130" s="415" t="s">
        <v>92</v>
      </c>
      <c r="C130" s="415"/>
      <c r="D130" s="416" t="s">
        <v>56</v>
      </c>
      <c r="E130" s="459">
        <f>начисл.опл.!P24</f>
        <v>1837573.11</v>
      </c>
      <c r="F130" s="459"/>
      <c r="G130" s="459"/>
      <c r="H130" s="459"/>
      <c r="I130" s="459"/>
      <c r="J130" s="459"/>
    </row>
    <row r="131" spans="1:27" s="410" customFormat="1" ht="30" customHeight="1" x14ac:dyDescent="0.2">
      <c r="A131" s="451"/>
      <c r="B131" s="460" t="s">
        <v>93</v>
      </c>
      <c r="C131" s="461"/>
      <c r="D131" s="416" t="s">
        <v>56</v>
      </c>
      <c r="E131" s="482" t="s">
        <v>94</v>
      </c>
      <c r="F131" s="483"/>
      <c r="G131" s="483"/>
      <c r="H131" s="483"/>
      <c r="I131" s="483"/>
      <c r="J131" s="484"/>
    </row>
    <row r="132" spans="1:27" s="410" customFormat="1" ht="5.25" customHeight="1" x14ac:dyDescent="0.2">
      <c r="A132" s="448"/>
      <c r="B132" s="449"/>
      <c r="C132" s="449"/>
      <c r="D132" s="449"/>
      <c r="E132" s="449"/>
      <c r="F132" s="449"/>
      <c r="G132" s="449"/>
      <c r="H132" s="449"/>
      <c r="I132" s="449"/>
      <c r="J132" s="450"/>
    </row>
    <row r="133" spans="1:27" ht="30" customHeight="1" x14ac:dyDescent="0.2">
      <c r="A133" s="441" t="s">
        <v>78</v>
      </c>
      <c r="B133" s="442" t="s">
        <v>79</v>
      </c>
      <c r="C133" s="442"/>
      <c r="D133" s="412" t="s">
        <v>56</v>
      </c>
      <c r="E133" s="443" t="str">
        <f>[1]начисл_с300!A29</f>
        <v>Текущий ремонт общего имущества в МКД</v>
      </c>
      <c r="F133" s="444"/>
      <c r="G133" s="444"/>
      <c r="H133" s="444"/>
      <c r="I133" s="444"/>
      <c r="J133" s="445"/>
    </row>
    <row r="134" spans="1:27" ht="30" customHeight="1" x14ac:dyDescent="0.2">
      <c r="A134" s="441" t="s">
        <v>81</v>
      </c>
      <c r="B134" s="442" t="s">
        <v>82</v>
      </c>
      <c r="C134" s="442"/>
      <c r="D134" s="412" t="s">
        <v>61</v>
      </c>
      <c r="E134" s="446">
        <f>начисл.опл.!P26</f>
        <v>69179.600000000006</v>
      </c>
      <c r="F134" s="446"/>
      <c r="G134" s="446"/>
      <c r="H134" s="446"/>
      <c r="I134" s="446"/>
      <c r="J134" s="446"/>
      <c r="L134" s="435"/>
    </row>
    <row r="135" spans="1:27" ht="30" customHeight="1" x14ac:dyDescent="0.2">
      <c r="A135" s="451" t="s">
        <v>85</v>
      </c>
      <c r="B135" s="415" t="s">
        <v>86</v>
      </c>
      <c r="C135" s="415"/>
      <c r="D135" s="416" t="s">
        <v>56</v>
      </c>
      <c r="E135" s="455" t="s">
        <v>103</v>
      </c>
      <c r="F135" s="455"/>
      <c r="G135" s="455"/>
      <c r="H135" s="455"/>
      <c r="I135" s="455"/>
      <c r="J135" s="455"/>
      <c r="L135" s="435"/>
    </row>
    <row r="136" spans="1:27" ht="63" customHeight="1" x14ac:dyDescent="0.2">
      <c r="A136" s="462" t="s">
        <v>410</v>
      </c>
      <c r="B136" s="463"/>
      <c r="C136" s="463"/>
      <c r="D136" s="463"/>
      <c r="E136" s="463"/>
      <c r="F136" s="463"/>
      <c r="G136" s="463"/>
      <c r="H136" s="463"/>
      <c r="I136" s="463"/>
      <c r="J136" s="464"/>
      <c r="L136" s="435"/>
    </row>
    <row r="137" spans="1:27" s="410" customFormat="1" ht="5.25" customHeight="1" x14ac:dyDescent="0.2">
      <c r="A137" s="448"/>
      <c r="B137" s="449"/>
      <c r="C137" s="449"/>
      <c r="D137" s="449"/>
      <c r="E137" s="449"/>
      <c r="F137" s="449"/>
      <c r="G137" s="449"/>
      <c r="H137" s="449"/>
      <c r="I137" s="449"/>
      <c r="J137" s="450"/>
    </row>
    <row r="138" spans="1:27" ht="30" customHeight="1" x14ac:dyDescent="0.2">
      <c r="A138" s="441" t="s">
        <v>78</v>
      </c>
      <c r="B138" s="442" t="s">
        <v>79</v>
      </c>
      <c r="C138" s="442"/>
      <c r="D138" s="412" t="s">
        <v>56</v>
      </c>
      <c r="E138" s="443" t="str">
        <f>'12.16_ИП'!A65</f>
        <v>Управление многоквартирным домом</v>
      </c>
      <c r="F138" s="444"/>
      <c r="G138" s="444"/>
      <c r="H138" s="444"/>
      <c r="I138" s="444"/>
      <c r="J138" s="445"/>
    </row>
    <row r="139" spans="1:27" ht="30" customHeight="1" x14ac:dyDescent="0.2">
      <c r="A139" s="441" t="s">
        <v>81</v>
      </c>
      <c r="B139" s="442" t="s">
        <v>82</v>
      </c>
      <c r="C139" s="442"/>
      <c r="D139" s="412" t="s">
        <v>61</v>
      </c>
      <c r="E139" s="446">
        <f>начисл.опл.!P28</f>
        <v>2644445.6</v>
      </c>
      <c r="F139" s="446"/>
      <c r="G139" s="446"/>
      <c r="H139" s="446"/>
      <c r="I139" s="446"/>
      <c r="J139" s="446"/>
      <c r="L139" s="435"/>
    </row>
    <row r="140" spans="1:27" ht="30" customHeight="1" x14ac:dyDescent="0.2">
      <c r="A140" s="451" t="s">
        <v>85</v>
      </c>
      <c r="B140" s="415" t="s">
        <v>86</v>
      </c>
      <c r="C140" s="415"/>
      <c r="D140" s="416" t="s">
        <v>56</v>
      </c>
      <c r="E140" s="455" t="s">
        <v>96</v>
      </c>
      <c r="F140" s="455"/>
      <c r="G140" s="455"/>
      <c r="H140" s="455"/>
      <c r="I140" s="455"/>
      <c r="J140" s="455"/>
      <c r="L140" s="435"/>
    </row>
    <row r="141" spans="1:27" s="466" customFormat="1" ht="15" customHeight="1" x14ac:dyDescent="0.2">
      <c r="A141" s="419" t="s">
        <v>104</v>
      </c>
      <c r="B141" s="419"/>
      <c r="C141" s="419"/>
      <c r="D141" s="419"/>
      <c r="E141" s="419"/>
      <c r="F141" s="419"/>
      <c r="G141" s="419"/>
      <c r="H141" s="419"/>
      <c r="I141" s="419"/>
      <c r="J141" s="419"/>
      <c r="K141" s="465"/>
      <c r="L141" s="465"/>
      <c r="M141" s="465"/>
      <c r="N141" s="465"/>
      <c r="O141" s="465"/>
      <c r="P141" s="465"/>
      <c r="Q141" s="465"/>
      <c r="R141" s="465"/>
      <c r="S141" s="465"/>
      <c r="T141" s="465"/>
      <c r="U141" s="465"/>
      <c r="V141" s="465"/>
      <c r="W141" s="465"/>
      <c r="X141" s="465"/>
      <c r="Y141" s="465"/>
      <c r="Z141" s="465"/>
      <c r="AA141" s="465"/>
    </row>
    <row r="142" spans="1:27" ht="30" customHeight="1" x14ac:dyDescent="0.2">
      <c r="A142" s="414">
        <v>27</v>
      </c>
      <c r="B142" s="415" t="s">
        <v>105</v>
      </c>
      <c r="C142" s="415"/>
      <c r="D142" s="416" t="s">
        <v>106</v>
      </c>
      <c r="E142" s="467">
        <v>0</v>
      </c>
      <c r="F142" s="467"/>
      <c r="G142" s="467"/>
      <c r="H142" s="467"/>
      <c r="I142" s="467"/>
      <c r="J142" s="467"/>
    </row>
    <row r="143" spans="1:27" ht="30" customHeight="1" x14ac:dyDescent="0.2">
      <c r="A143" s="414">
        <v>28</v>
      </c>
      <c r="B143" s="415" t="s">
        <v>107</v>
      </c>
      <c r="C143" s="415"/>
      <c r="D143" s="416" t="s">
        <v>106</v>
      </c>
      <c r="E143" s="467">
        <v>0</v>
      </c>
      <c r="F143" s="467"/>
      <c r="G143" s="467"/>
      <c r="H143" s="467"/>
      <c r="I143" s="467"/>
      <c r="J143" s="467"/>
    </row>
    <row r="144" spans="1:27" ht="30" customHeight="1" x14ac:dyDescent="0.2">
      <c r="A144" s="414">
        <v>29</v>
      </c>
      <c r="B144" s="415" t="s">
        <v>108</v>
      </c>
      <c r="C144" s="415"/>
      <c r="D144" s="416" t="s">
        <v>106</v>
      </c>
      <c r="E144" s="467">
        <v>0</v>
      </c>
      <c r="F144" s="467"/>
      <c r="G144" s="467"/>
      <c r="H144" s="467"/>
      <c r="I144" s="467"/>
      <c r="J144" s="467"/>
    </row>
    <row r="145" spans="1:27" ht="30" customHeight="1" x14ac:dyDescent="0.2">
      <c r="A145" s="414">
        <v>30</v>
      </c>
      <c r="B145" s="415" t="s">
        <v>109</v>
      </c>
      <c r="C145" s="415"/>
      <c r="D145" s="416" t="s">
        <v>61</v>
      </c>
      <c r="E145" s="467">
        <v>0</v>
      </c>
      <c r="F145" s="467"/>
      <c r="G145" s="467"/>
      <c r="H145" s="467"/>
      <c r="I145" s="467"/>
      <c r="J145" s="467"/>
    </row>
    <row r="146" spans="1:27" ht="15" customHeight="1" x14ac:dyDescent="0.2">
      <c r="A146" s="419" t="s">
        <v>110</v>
      </c>
      <c r="B146" s="419"/>
      <c r="C146" s="419"/>
      <c r="D146" s="419"/>
      <c r="E146" s="419"/>
      <c r="F146" s="419"/>
      <c r="G146" s="419"/>
      <c r="H146" s="419"/>
      <c r="I146" s="419"/>
      <c r="J146" s="419"/>
    </row>
    <row r="147" spans="1:27" ht="30" customHeight="1" x14ac:dyDescent="0.2">
      <c r="A147" s="414">
        <v>31</v>
      </c>
      <c r="B147" s="415" t="s">
        <v>60</v>
      </c>
      <c r="C147" s="415"/>
      <c r="D147" s="416" t="s">
        <v>61</v>
      </c>
      <c r="E147" s="468">
        <v>0</v>
      </c>
      <c r="F147" s="468"/>
      <c r="G147" s="468">
        <v>0</v>
      </c>
      <c r="H147" s="468"/>
      <c r="I147" s="468"/>
      <c r="J147" s="468"/>
    </row>
    <row r="148" spans="1:27" ht="30" customHeight="1" x14ac:dyDescent="0.2">
      <c r="A148" s="414">
        <v>32</v>
      </c>
      <c r="B148" s="415" t="s">
        <v>62</v>
      </c>
      <c r="C148" s="415"/>
      <c r="D148" s="416" t="s">
        <v>61</v>
      </c>
      <c r="E148" s="468">
        <v>0</v>
      </c>
      <c r="F148" s="468"/>
      <c r="G148" s="468">
        <v>0</v>
      </c>
      <c r="H148" s="468"/>
      <c r="I148" s="468"/>
      <c r="J148" s="468"/>
    </row>
    <row r="149" spans="1:27" ht="30" customHeight="1" x14ac:dyDescent="0.2">
      <c r="A149" s="414">
        <v>33</v>
      </c>
      <c r="B149" s="415" t="s">
        <v>63</v>
      </c>
      <c r="C149" s="415"/>
      <c r="D149" s="416" t="s">
        <v>61</v>
      </c>
      <c r="E149" s="469">
        <v>252853.00028080013</v>
      </c>
      <c r="F149" s="470"/>
      <c r="G149" s="470"/>
      <c r="H149" s="470"/>
      <c r="I149" s="470"/>
      <c r="J149" s="471"/>
    </row>
    <row r="150" spans="1:27" ht="30" customHeight="1" x14ac:dyDescent="0.2">
      <c r="A150" s="414">
        <v>34</v>
      </c>
      <c r="B150" s="415" t="s">
        <v>74</v>
      </c>
      <c r="C150" s="415"/>
      <c r="D150" s="416" t="s">
        <v>61</v>
      </c>
      <c r="E150" s="468">
        <v>0</v>
      </c>
      <c r="F150" s="468"/>
      <c r="G150" s="468">
        <v>0</v>
      </c>
      <c r="H150" s="468"/>
      <c r="I150" s="468"/>
      <c r="J150" s="468"/>
    </row>
    <row r="151" spans="1:27" ht="30" customHeight="1" x14ac:dyDescent="0.2">
      <c r="A151" s="414">
        <v>35</v>
      </c>
      <c r="B151" s="415" t="s">
        <v>75</v>
      </c>
      <c r="C151" s="415"/>
      <c r="D151" s="416" t="s">
        <v>61</v>
      </c>
      <c r="E151" s="468">
        <v>0</v>
      </c>
      <c r="F151" s="468"/>
      <c r="G151" s="468">
        <v>0</v>
      </c>
      <c r="H151" s="468"/>
      <c r="I151" s="468"/>
      <c r="J151" s="468"/>
    </row>
    <row r="152" spans="1:27" ht="30" customHeight="1" x14ac:dyDescent="0.2">
      <c r="A152" s="414">
        <v>36</v>
      </c>
      <c r="B152" s="415" t="s">
        <v>111</v>
      </c>
      <c r="C152" s="415"/>
      <c r="D152" s="416" t="s">
        <v>61</v>
      </c>
      <c r="E152" s="467">
        <f>F155+F156+F157+F158</f>
        <v>445033.12298829685</v>
      </c>
      <c r="F152" s="472"/>
      <c r="G152" s="472"/>
      <c r="H152" s="472"/>
      <c r="I152" s="472"/>
      <c r="J152" s="472"/>
    </row>
    <row r="153" spans="1:27" x14ac:dyDescent="0.2">
      <c r="A153" s="488" t="s">
        <v>112</v>
      </c>
      <c r="B153" s="488"/>
      <c r="C153" s="488"/>
      <c r="D153" s="488"/>
      <c r="E153" s="488"/>
      <c r="F153" s="488"/>
      <c r="G153" s="488"/>
      <c r="H153" s="488"/>
      <c r="I153" s="488"/>
      <c r="J153" s="488"/>
    </row>
    <row r="154" spans="1:27" ht="107.25" customHeight="1" x14ac:dyDescent="0.2">
      <c r="A154" s="473" t="s">
        <v>113</v>
      </c>
      <c r="B154" s="412" t="s">
        <v>114</v>
      </c>
      <c r="C154" s="412" t="s">
        <v>115</v>
      </c>
      <c r="D154" s="412" t="s">
        <v>116</v>
      </c>
      <c r="E154" s="412" t="s">
        <v>117</v>
      </c>
      <c r="F154" s="412" t="s">
        <v>118</v>
      </c>
      <c r="G154" s="412" t="s">
        <v>119</v>
      </c>
      <c r="H154" s="412" t="s">
        <v>120</v>
      </c>
      <c r="I154" s="412" t="s">
        <v>121</v>
      </c>
      <c r="J154" s="412" t="s">
        <v>122</v>
      </c>
    </row>
    <row r="155" spans="1:27" s="476" customFormat="1" ht="45.75" customHeight="1" x14ac:dyDescent="0.2">
      <c r="A155" s="451" t="s">
        <v>56</v>
      </c>
      <c r="B155" s="474" t="s">
        <v>135</v>
      </c>
      <c r="C155" s="475">
        <v>2355</v>
      </c>
      <c r="D155" s="475">
        <f>начисл.опл.!N38</f>
        <v>58290.27</v>
      </c>
      <c r="E155" s="475">
        <f>начисл.опл.!T38</f>
        <v>50339.080014709041</v>
      </c>
      <c r="F155" s="475">
        <f>D155-E155</f>
        <v>7951.1899852909555</v>
      </c>
      <c r="G155" s="475">
        <f>начисл.опл.!P38</f>
        <v>58276.43</v>
      </c>
      <c r="H155" s="475">
        <f>G155</f>
        <v>58276.43</v>
      </c>
      <c r="I155" s="475">
        <f>G155-H155</f>
        <v>0</v>
      </c>
      <c r="J155" s="475">
        <v>0</v>
      </c>
      <c r="K155" s="438"/>
      <c r="L155" s="438"/>
      <c r="M155" s="438"/>
      <c r="N155" s="438"/>
      <c r="O155" s="438"/>
      <c r="P155" s="438"/>
      <c r="Q155" s="438"/>
      <c r="R155" s="438"/>
      <c r="S155" s="438"/>
      <c r="T155" s="438"/>
      <c r="U155" s="438"/>
      <c r="V155" s="438"/>
      <c r="W155" s="438"/>
      <c r="X155" s="438"/>
      <c r="Y155" s="438"/>
      <c r="Z155" s="438"/>
      <c r="AA155" s="438"/>
    </row>
    <row r="156" spans="1:27" s="476" customFormat="1" ht="49.5" customHeight="1" x14ac:dyDescent="0.2">
      <c r="A156" s="451" t="s">
        <v>56</v>
      </c>
      <c r="B156" s="474" t="s">
        <v>123</v>
      </c>
      <c r="C156" s="475">
        <f>C155</f>
        <v>2355</v>
      </c>
      <c r="D156" s="477">
        <f>начисл.опл.!N43</f>
        <v>40692.11</v>
      </c>
      <c r="E156" s="477">
        <f>начисл.опл.!T43</f>
        <v>35141.428942726496</v>
      </c>
      <c r="F156" s="475">
        <f>D156-E156</f>
        <v>5550.6810572735048</v>
      </c>
      <c r="G156" s="477">
        <f>начисл.опл.!P43</f>
        <v>58745.960000000006</v>
      </c>
      <c r="H156" s="475">
        <f t="shared" ref="H156:H158" si="0">G156</f>
        <v>58745.960000000006</v>
      </c>
      <c r="I156" s="475">
        <f t="shared" ref="I156:I158" si="1">G156-H156</f>
        <v>0</v>
      </c>
      <c r="J156" s="477">
        <v>0</v>
      </c>
      <c r="K156" s="438"/>
      <c r="L156" s="438"/>
      <c r="M156" s="438"/>
      <c r="N156" s="438"/>
      <c r="O156" s="438"/>
      <c r="P156" s="438"/>
      <c r="Q156" s="438"/>
      <c r="R156" s="438"/>
      <c r="S156" s="438"/>
      <c r="T156" s="438"/>
      <c r="U156" s="438"/>
      <c r="V156" s="438"/>
      <c r="W156" s="438"/>
      <c r="X156" s="438"/>
      <c r="Y156" s="438"/>
      <c r="Z156" s="438"/>
      <c r="AA156" s="438"/>
    </row>
    <row r="157" spans="1:27" s="476" customFormat="1" ht="30" customHeight="1" x14ac:dyDescent="0.2">
      <c r="A157" s="451" t="s">
        <v>56</v>
      </c>
      <c r="B157" s="474" t="s">
        <v>124</v>
      </c>
      <c r="C157" s="475">
        <v>1108.21</v>
      </c>
      <c r="D157" s="477">
        <f>начисл.опл.!N47</f>
        <v>1754962.27</v>
      </c>
      <c r="E157" s="477">
        <f>начисл.опл.!T47</f>
        <v>1515573.4590408555</v>
      </c>
      <c r="F157" s="475">
        <f>D157-E157</f>
        <v>239388.8109591445</v>
      </c>
      <c r="G157" s="477">
        <f>начисл.опл.!P47</f>
        <v>1754961.22</v>
      </c>
      <c r="H157" s="475">
        <f t="shared" si="0"/>
        <v>1754961.22</v>
      </c>
      <c r="I157" s="475">
        <f t="shared" si="1"/>
        <v>0</v>
      </c>
      <c r="J157" s="477">
        <v>0</v>
      </c>
      <c r="K157" s="438"/>
      <c r="L157" s="478"/>
      <c r="M157" s="438"/>
      <c r="N157" s="438"/>
      <c r="O157" s="438"/>
      <c r="P157" s="438"/>
      <c r="Q157" s="438"/>
      <c r="R157" s="438"/>
      <c r="S157" s="438"/>
      <c r="T157" s="438"/>
      <c r="U157" s="438"/>
      <c r="V157" s="438"/>
      <c r="W157" s="438"/>
      <c r="X157" s="438"/>
      <c r="Y157" s="438"/>
      <c r="Z157" s="438"/>
      <c r="AA157" s="438"/>
    </row>
    <row r="158" spans="1:27" s="476" customFormat="1" ht="30" customHeight="1" x14ac:dyDescent="0.2">
      <c r="A158" s="451" t="s">
        <v>56</v>
      </c>
      <c r="B158" s="474" t="s">
        <v>125</v>
      </c>
      <c r="C158" s="475">
        <v>561793</v>
      </c>
      <c r="D158" s="477">
        <f>начисл.опл.!N52</f>
        <v>1408598.5599999998</v>
      </c>
      <c r="E158" s="477">
        <f>начисл.опл.!T52</f>
        <v>1216456.1190134119</v>
      </c>
      <c r="F158" s="475">
        <f>D158-E158</f>
        <v>192142.4409865879</v>
      </c>
      <c r="G158" s="477">
        <f>начисл.опл.!P52</f>
        <v>1408588.61</v>
      </c>
      <c r="H158" s="475">
        <f t="shared" si="0"/>
        <v>1408588.61</v>
      </c>
      <c r="I158" s="475">
        <f t="shared" si="1"/>
        <v>0</v>
      </c>
      <c r="J158" s="477">
        <v>0</v>
      </c>
      <c r="K158" s="438"/>
      <c r="L158" s="438"/>
      <c r="M158" s="438"/>
      <c r="N158" s="438"/>
      <c r="O158" s="438"/>
      <c r="P158" s="438"/>
      <c r="Q158" s="438"/>
      <c r="R158" s="438"/>
      <c r="S158" s="438"/>
      <c r="T158" s="438"/>
      <c r="U158" s="438"/>
      <c r="V158" s="438"/>
      <c r="W158" s="438"/>
      <c r="X158" s="438"/>
      <c r="Y158" s="438"/>
      <c r="Z158" s="438"/>
      <c r="AA158" s="438"/>
    </row>
    <row r="159" spans="1:27" ht="15" customHeight="1" x14ac:dyDescent="0.2">
      <c r="A159" s="419" t="s">
        <v>126</v>
      </c>
      <c r="B159" s="419"/>
      <c r="C159" s="419"/>
      <c r="D159" s="419"/>
      <c r="E159" s="419"/>
      <c r="F159" s="419"/>
      <c r="G159" s="419"/>
      <c r="H159" s="419"/>
      <c r="I159" s="419"/>
      <c r="J159" s="419"/>
    </row>
    <row r="160" spans="1:27" ht="30" customHeight="1" x14ac:dyDescent="0.2">
      <c r="A160" s="414">
        <v>47</v>
      </c>
      <c r="B160" s="415" t="s">
        <v>105</v>
      </c>
      <c r="C160" s="415"/>
      <c r="D160" s="416" t="s">
        <v>106</v>
      </c>
      <c r="E160" s="467">
        <v>0</v>
      </c>
      <c r="F160" s="467"/>
      <c r="G160" s="467">
        <v>0</v>
      </c>
      <c r="H160" s="467"/>
      <c r="I160" s="467"/>
      <c r="J160" s="467"/>
    </row>
    <row r="161" spans="1:10" ht="30" customHeight="1" x14ac:dyDescent="0.2">
      <c r="A161" s="414">
        <v>48</v>
      </c>
      <c r="B161" s="415" t="s">
        <v>107</v>
      </c>
      <c r="C161" s="415"/>
      <c r="D161" s="416" t="s">
        <v>106</v>
      </c>
      <c r="E161" s="467">
        <v>0</v>
      </c>
      <c r="F161" s="467"/>
      <c r="G161" s="467">
        <v>0</v>
      </c>
      <c r="H161" s="467"/>
      <c r="I161" s="467"/>
      <c r="J161" s="467"/>
    </row>
    <row r="162" spans="1:10" ht="30" customHeight="1" x14ac:dyDescent="0.2">
      <c r="A162" s="414">
        <v>49</v>
      </c>
      <c r="B162" s="415" t="s">
        <v>108</v>
      </c>
      <c r="C162" s="415"/>
      <c r="D162" s="416" t="s">
        <v>106</v>
      </c>
      <c r="E162" s="467">
        <v>0</v>
      </c>
      <c r="F162" s="467"/>
      <c r="G162" s="467">
        <v>0</v>
      </c>
      <c r="H162" s="467"/>
      <c r="I162" s="467"/>
      <c r="J162" s="467"/>
    </row>
    <row r="163" spans="1:10" ht="30" customHeight="1" x14ac:dyDescent="0.2">
      <c r="A163" s="414">
        <v>50</v>
      </c>
      <c r="B163" s="415" t="s">
        <v>109</v>
      </c>
      <c r="C163" s="415"/>
      <c r="D163" s="416" t="s">
        <v>61</v>
      </c>
      <c r="E163" s="467">
        <v>0</v>
      </c>
      <c r="F163" s="467"/>
      <c r="G163" s="467">
        <v>0</v>
      </c>
      <c r="H163" s="467"/>
      <c r="I163" s="467"/>
      <c r="J163" s="467"/>
    </row>
    <row r="164" spans="1:10" ht="30" customHeight="1" x14ac:dyDescent="0.2">
      <c r="A164" s="419" t="s">
        <v>127</v>
      </c>
      <c r="B164" s="419"/>
      <c r="C164" s="419"/>
      <c r="D164" s="419"/>
      <c r="E164" s="419"/>
      <c r="F164" s="419"/>
      <c r="G164" s="419"/>
      <c r="H164" s="419"/>
      <c r="I164" s="419"/>
      <c r="J164" s="419"/>
    </row>
    <row r="165" spans="1:10" s="410" customFormat="1" ht="30" customHeight="1" x14ac:dyDescent="0.2">
      <c r="A165" s="414">
        <v>51</v>
      </c>
      <c r="B165" s="415" t="s">
        <v>128</v>
      </c>
      <c r="C165" s="415"/>
      <c r="D165" s="416" t="s">
        <v>106</v>
      </c>
      <c r="E165" s="467">
        <v>7</v>
      </c>
      <c r="F165" s="467"/>
      <c r="G165" s="467"/>
      <c r="H165" s="467"/>
      <c r="I165" s="467"/>
      <c r="J165" s="467"/>
    </row>
    <row r="166" spans="1:10" s="410" customFormat="1" ht="30" customHeight="1" x14ac:dyDescent="0.2">
      <c r="A166" s="414">
        <v>52</v>
      </c>
      <c r="B166" s="415" t="s">
        <v>129</v>
      </c>
      <c r="C166" s="415"/>
      <c r="D166" s="416" t="s">
        <v>106</v>
      </c>
      <c r="E166" s="467">
        <v>1</v>
      </c>
      <c r="F166" s="467"/>
      <c r="G166" s="467">
        <v>0</v>
      </c>
      <c r="H166" s="467"/>
      <c r="I166" s="467"/>
      <c r="J166" s="467"/>
    </row>
    <row r="167" spans="1:10" s="410" customFormat="1" ht="30" customHeight="1" x14ac:dyDescent="0.2">
      <c r="A167" s="414">
        <v>53</v>
      </c>
      <c r="B167" s="415" t="s">
        <v>130</v>
      </c>
      <c r="C167" s="415"/>
      <c r="D167" s="416" t="s">
        <v>61</v>
      </c>
      <c r="E167" s="467">
        <v>40366.99</v>
      </c>
      <c r="F167" s="467"/>
      <c r="G167" s="467">
        <v>0</v>
      </c>
      <c r="H167" s="467"/>
      <c r="I167" s="467"/>
      <c r="J167" s="467"/>
    </row>
    <row r="168" spans="1:10" s="410" customFormat="1" x14ac:dyDescent="0.2">
      <c r="A168" s="409"/>
      <c r="C168" s="409"/>
      <c r="D168" s="409"/>
      <c r="E168" s="409"/>
      <c r="F168" s="409"/>
      <c r="G168" s="409"/>
      <c r="H168" s="409"/>
      <c r="I168" s="409"/>
      <c r="J168" s="409"/>
    </row>
    <row r="169" spans="1:10" s="410" customFormat="1" outlineLevel="1" x14ac:dyDescent="0.2">
      <c r="A169" s="409"/>
      <c r="B169" s="409"/>
      <c r="C169" s="409"/>
      <c r="D169" s="409"/>
      <c r="E169" s="409"/>
      <c r="F169" s="409"/>
      <c r="G169" s="409"/>
      <c r="H169" s="409"/>
      <c r="I169" s="409"/>
      <c r="J169" s="409"/>
    </row>
    <row r="170" spans="1:10" s="410" customFormat="1" x14ac:dyDescent="0.2">
      <c r="A170" s="409"/>
      <c r="C170" s="435"/>
      <c r="E170" s="479" t="s">
        <v>131</v>
      </c>
      <c r="F170" s="480">
        <f>E13</f>
        <v>11617869.389999999</v>
      </c>
      <c r="H170" s="409"/>
      <c r="I170" s="409"/>
      <c r="J170" s="409"/>
    </row>
    <row r="171" spans="1:10" s="410" customFormat="1" x14ac:dyDescent="0.2">
      <c r="A171" s="409"/>
      <c r="C171" s="435"/>
      <c r="E171" s="479" t="s">
        <v>132</v>
      </c>
      <c r="F171" s="447">
        <f>E29+E134+E139</f>
        <v>10496833.58</v>
      </c>
      <c r="G171" s="409"/>
      <c r="H171" s="409"/>
      <c r="I171" s="409"/>
      <c r="J171" s="409"/>
    </row>
    <row r="172" spans="1:10" s="410" customFormat="1" x14ac:dyDescent="0.2">
      <c r="A172" s="409"/>
      <c r="C172" s="435"/>
      <c r="E172" s="479" t="s">
        <v>133</v>
      </c>
      <c r="F172" s="480">
        <f>F170-F171</f>
        <v>1121035.8099999987</v>
      </c>
      <c r="G172" s="409"/>
      <c r="H172" s="409"/>
      <c r="I172" s="409"/>
      <c r="J172" s="409"/>
    </row>
    <row r="173" spans="1:10" s="410" customFormat="1" x14ac:dyDescent="0.2">
      <c r="A173" s="409"/>
      <c r="C173" s="1"/>
      <c r="F173" s="409"/>
      <c r="G173" s="409"/>
      <c r="H173" s="409"/>
      <c r="I173" s="409"/>
      <c r="J173" s="409"/>
    </row>
    <row r="174" spans="1:10" s="410" customFormat="1" x14ac:dyDescent="0.2">
      <c r="A174" s="409"/>
      <c r="E174" s="410" t="s">
        <v>382</v>
      </c>
      <c r="F174" s="447">
        <f>E152+E26</f>
        <v>2029789.6654470342</v>
      </c>
      <c r="G174" s="409"/>
      <c r="H174" s="409"/>
      <c r="I174" s="409"/>
      <c r="J174" s="409"/>
    </row>
  </sheetData>
  <mergeCells count="291">
    <mergeCell ref="H2:J2"/>
    <mergeCell ref="A132:J132"/>
    <mergeCell ref="B167:C167"/>
    <mergeCell ref="E167:J167"/>
    <mergeCell ref="B163:C163"/>
    <mergeCell ref="E163:J163"/>
    <mergeCell ref="A164:J164"/>
    <mergeCell ref="B165:C165"/>
    <mergeCell ref="E165:J165"/>
    <mergeCell ref="B166:C166"/>
    <mergeCell ref="E166:J166"/>
    <mergeCell ref="B160:C160"/>
    <mergeCell ref="E160:J160"/>
    <mergeCell ref="B161:C161"/>
    <mergeCell ref="E161:J161"/>
    <mergeCell ref="B162:C162"/>
    <mergeCell ref="E162:J162"/>
    <mergeCell ref="B151:C151"/>
    <mergeCell ref="E151:J151"/>
    <mergeCell ref="B152:C152"/>
    <mergeCell ref="E152:J152"/>
    <mergeCell ref="A153:J153"/>
    <mergeCell ref="A159:J159"/>
    <mergeCell ref="A136:J136"/>
    <mergeCell ref="B148:C148"/>
    <mergeCell ref="E148:J148"/>
    <mergeCell ref="B149:C149"/>
    <mergeCell ref="E149:J149"/>
    <mergeCell ref="B150:C150"/>
    <mergeCell ref="E150:J150"/>
    <mergeCell ref="B144:C144"/>
    <mergeCell ref="E144:J144"/>
    <mergeCell ref="B145:C145"/>
    <mergeCell ref="E145:J145"/>
    <mergeCell ref="A146:J146"/>
    <mergeCell ref="B147:C147"/>
    <mergeCell ref="E147:J147"/>
    <mergeCell ref="B140:C140"/>
    <mergeCell ref="E140:J140"/>
    <mergeCell ref="A141:J141"/>
    <mergeCell ref="B142:C142"/>
    <mergeCell ref="E142:J142"/>
    <mergeCell ref="B143:C143"/>
    <mergeCell ref="E143:J143"/>
    <mergeCell ref="B135:C135"/>
    <mergeCell ref="E135:J135"/>
    <mergeCell ref="A137:J137"/>
    <mergeCell ref="B138:C138"/>
    <mergeCell ref="E138:J138"/>
    <mergeCell ref="B139:C139"/>
    <mergeCell ref="E139:J139"/>
    <mergeCell ref="B133:C133"/>
    <mergeCell ref="E133:J133"/>
    <mergeCell ref="B134:C134"/>
    <mergeCell ref="E134:J134"/>
    <mergeCell ref="B74:C74"/>
    <mergeCell ref="E74:J74"/>
    <mergeCell ref="B75:C75"/>
    <mergeCell ref="E75:J75"/>
    <mergeCell ref="B76:C76"/>
    <mergeCell ref="E76:J76"/>
    <mergeCell ref="A90:J90"/>
    <mergeCell ref="B91:C91"/>
    <mergeCell ref="E91:J91"/>
    <mergeCell ref="B92:C92"/>
    <mergeCell ref="E92:J92"/>
    <mergeCell ref="B93:C93"/>
    <mergeCell ref="E93:J93"/>
    <mergeCell ref="B94:C94"/>
    <mergeCell ref="E94:J94"/>
    <mergeCell ref="B95:C95"/>
    <mergeCell ref="E95:J95"/>
    <mergeCell ref="A96:J96"/>
    <mergeCell ref="B97:C97"/>
    <mergeCell ref="E97:J97"/>
    <mergeCell ref="B73:C73"/>
    <mergeCell ref="E73:J73"/>
    <mergeCell ref="B85:C85"/>
    <mergeCell ref="E85:J85"/>
    <mergeCell ref="B86:C86"/>
    <mergeCell ref="E86:J86"/>
    <mergeCell ref="B87:C87"/>
    <mergeCell ref="E87:J87"/>
    <mergeCell ref="B77:C77"/>
    <mergeCell ref="E77:J77"/>
    <mergeCell ref="A78:J78"/>
    <mergeCell ref="B129:C129"/>
    <mergeCell ref="E129:J129"/>
    <mergeCell ref="B130:C130"/>
    <mergeCell ref="E130:J130"/>
    <mergeCell ref="B131:C131"/>
    <mergeCell ref="E131:J131"/>
    <mergeCell ref="B127:C127"/>
    <mergeCell ref="E127:J127"/>
    <mergeCell ref="B128:C128"/>
    <mergeCell ref="E128:J128"/>
    <mergeCell ref="B124:C124"/>
    <mergeCell ref="E124:J124"/>
    <mergeCell ref="B125:C125"/>
    <mergeCell ref="E125:J125"/>
    <mergeCell ref="A126:J126"/>
    <mergeCell ref="B123:C123"/>
    <mergeCell ref="E123:J123"/>
    <mergeCell ref="B81:C81"/>
    <mergeCell ref="E81:J81"/>
    <mergeCell ref="B82:C82"/>
    <mergeCell ref="E82:J82"/>
    <mergeCell ref="B83:C83"/>
    <mergeCell ref="E83:J83"/>
    <mergeCell ref="B98:C98"/>
    <mergeCell ref="E98:J98"/>
    <mergeCell ref="B99:C99"/>
    <mergeCell ref="E99:J99"/>
    <mergeCell ref="B100:C100"/>
    <mergeCell ref="E100:J100"/>
    <mergeCell ref="B101:C101"/>
    <mergeCell ref="E101:J101"/>
    <mergeCell ref="A102:J102"/>
    <mergeCell ref="B103:C103"/>
    <mergeCell ref="E103:J103"/>
    <mergeCell ref="B104:C104"/>
    <mergeCell ref="E104:J104"/>
    <mergeCell ref="B105:C105"/>
    <mergeCell ref="B79:C79"/>
    <mergeCell ref="E79:J79"/>
    <mergeCell ref="B80:C80"/>
    <mergeCell ref="E80:J80"/>
    <mergeCell ref="A84:J84"/>
    <mergeCell ref="B121:C121"/>
    <mergeCell ref="E121:J121"/>
    <mergeCell ref="B116:C116"/>
    <mergeCell ref="E116:J116"/>
    <mergeCell ref="B117:C117"/>
    <mergeCell ref="E117:J117"/>
    <mergeCell ref="B88:C88"/>
    <mergeCell ref="E88:J88"/>
    <mergeCell ref="B89:C89"/>
    <mergeCell ref="E89:J89"/>
    <mergeCell ref="E113:J113"/>
    <mergeCell ref="A114:J114"/>
    <mergeCell ref="B122:C122"/>
    <mergeCell ref="E122:J122"/>
    <mergeCell ref="E105:J105"/>
    <mergeCell ref="B106:C106"/>
    <mergeCell ref="E106:J106"/>
    <mergeCell ref="B107:C107"/>
    <mergeCell ref="E107:J107"/>
    <mergeCell ref="A108:J108"/>
    <mergeCell ref="B109:C109"/>
    <mergeCell ref="E109:J109"/>
    <mergeCell ref="B110:C110"/>
    <mergeCell ref="E110:J110"/>
    <mergeCell ref="B111:C111"/>
    <mergeCell ref="E111:J111"/>
    <mergeCell ref="B112:C112"/>
    <mergeCell ref="E112:J112"/>
    <mergeCell ref="B113:C113"/>
    <mergeCell ref="A120:J120"/>
    <mergeCell ref="B118:C118"/>
    <mergeCell ref="E118:J118"/>
    <mergeCell ref="B119:C119"/>
    <mergeCell ref="E119:J119"/>
    <mergeCell ref="B115:C115"/>
    <mergeCell ref="E115:J115"/>
    <mergeCell ref="B67:C67"/>
    <mergeCell ref="E67:J67"/>
    <mergeCell ref="B71:C71"/>
    <mergeCell ref="E71:J71"/>
    <mergeCell ref="A72:J72"/>
    <mergeCell ref="B61:C61"/>
    <mergeCell ref="E61:J61"/>
    <mergeCell ref="B62:C62"/>
    <mergeCell ref="E62:J62"/>
    <mergeCell ref="B68:C68"/>
    <mergeCell ref="E68:J68"/>
    <mergeCell ref="B69:C69"/>
    <mergeCell ref="E69:J69"/>
    <mergeCell ref="B70:C70"/>
    <mergeCell ref="E70:J70"/>
    <mergeCell ref="A66:J66"/>
    <mergeCell ref="B63:C63"/>
    <mergeCell ref="E63:J63"/>
    <mergeCell ref="B64:C64"/>
    <mergeCell ref="E64:J64"/>
    <mergeCell ref="B65:C65"/>
    <mergeCell ref="E65:J65"/>
    <mergeCell ref="B58:C58"/>
    <mergeCell ref="E58:J58"/>
    <mergeCell ref="B59:C59"/>
    <mergeCell ref="E59:J59"/>
    <mergeCell ref="A60:J60"/>
    <mergeCell ref="B49:C49"/>
    <mergeCell ref="E49:J49"/>
    <mergeCell ref="B53:C53"/>
    <mergeCell ref="E53:J53"/>
    <mergeCell ref="A54:J54"/>
    <mergeCell ref="B56:C56"/>
    <mergeCell ref="E56:J56"/>
    <mergeCell ref="B57:C57"/>
    <mergeCell ref="E57:J57"/>
    <mergeCell ref="B50:C50"/>
    <mergeCell ref="E50:J50"/>
    <mergeCell ref="B51:C51"/>
    <mergeCell ref="E51:J51"/>
    <mergeCell ref="B52:C52"/>
    <mergeCell ref="E52:J52"/>
    <mergeCell ref="B41:C41"/>
    <mergeCell ref="E41:J41"/>
    <mergeCell ref="B38:C38"/>
    <mergeCell ref="E38:J38"/>
    <mergeCell ref="B39:C39"/>
    <mergeCell ref="E39:J39"/>
    <mergeCell ref="B40:C40"/>
    <mergeCell ref="E40:J40"/>
    <mergeCell ref="B55:C55"/>
    <mergeCell ref="E55:J55"/>
    <mergeCell ref="B47:C47"/>
    <mergeCell ref="E47:J47"/>
    <mergeCell ref="A48:J48"/>
    <mergeCell ref="A42:J42"/>
    <mergeCell ref="B43:C43"/>
    <mergeCell ref="E43:J43"/>
    <mergeCell ref="B44:C44"/>
    <mergeCell ref="E44:J44"/>
    <mergeCell ref="B45:C45"/>
    <mergeCell ref="E45:J45"/>
    <mergeCell ref="B46:C46"/>
    <mergeCell ref="E46:J46"/>
    <mergeCell ref="B34:C34"/>
    <mergeCell ref="E34:J34"/>
    <mergeCell ref="B35:C35"/>
    <mergeCell ref="E35:J35"/>
    <mergeCell ref="A36:J36"/>
    <mergeCell ref="B37:C37"/>
    <mergeCell ref="E37:J37"/>
    <mergeCell ref="B31:C31"/>
    <mergeCell ref="E31:J31"/>
    <mergeCell ref="B32:C32"/>
    <mergeCell ref="E32:J32"/>
    <mergeCell ref="B33:C33"/>
    <mergeCell ref="E33:J33"/>
    <mergeCell ref="A27:J27"/>
    <mergeCell ref="B28:C28"/>
    <mergeCell ref="E28:J28"/>
    <mergeCell ref="B29:C29"/>
    <mergeCell ref="E29:J29"/>
    <mergeCell ref="A30:J30"/>
    <mergeCell ref="B24:C24"/>
    <mergeCell ref="E24:J24"/>
    <mergeCell ref="B25:C25"/>
    <mergeCell ref="E25:J25"/>
    <mergeCell ref="B26:C26"/>
    <mergeCell ref="E26:J26"/>
    <mergeCell ref="B21:C21"/>
    <mergeCell ref="E21:J21"/>
    <mergeCell ref="B22:C22"/>
    <mergeCell ref="E22:J22"/>
    <mergeCell ref="B23:C23"/>
    <mergeCell ref="E23:J23"/>
    <mergeCell ref="B18:C18"/>
    <mergeCell ref="E18:J18"/>
    <mergeCell ref="B19:C19"/>
    <mergeCell ref="E19:J19"/>
    <mergeCell ref="B20:C20"/>
    <mergeCell ref="E20:J20"/>
    <mergeCell ref="B15:C15"/>
    <mergeCell ref="E15:J15"/>
    <mergeCell ref="B16:C16"/>
    <mergeCell ref="E16:J16"/>
    <mergeCell ref="B17:C17"/>
    <mergeCell ref="E17:J17"/>
    <mergeCell ref="B12:C12"/>
    <mergeCell ref="E12:J12"/>
    <mergeCell ref="B13:C13"/>
    <mergeCell ref="E13:J13"/>
    <mergeCell ref="B14:C14"/>
    <mergeCell ref="E14:J14"/>
    <mergeCell ref="B8:C8"/>
    <mergeCell ref="E8:J8"/>
    <mergeCell ref="A9:J9"/>
    <mergeCell ref="B10:C10"/>
    <mergeCell ref="E10:J10"/>
    <mergeCell ref="B11:C11"/>
    <mergeCell ref="E11:J11"/>
    <mergeCell ref="A4:J4"/>
    <mergeCell ref="B5:C5"/>
    <mergeCell ref="E5:J5"/>
    <mergeCell ref="B6:C6"/>
    <mergeCell ref="E6:J6"/>
    <mergeCell ref="B7:C7"/>
    <mergeCell ref="E7:J7"/>
  </mergeCells>
  <pageMargins left="0.25" right="0.25" top="0.75" bottom="0.75" header="0.3" footer="0.3"/>
  <pageSetup paperSize="9" scale="54" fitToHeight="0" orientation="portrait" r:id="rId1"/>
  <headerFooter>
    <oddFooter>&amp;R&amp;P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70"/>
  <sheetViews>
    <sheetView view="pageBreakPreview" zoomScaleNormal="100" zoomScaleSheetLayoutView="100" workbookViewId="0">
      <pane ySplit="2" topLeftCell="A3" activePane="bottomLeft" state="frozen"/>
      <selection pane="bottomLeft" activeCell="U26" sqref="U26"/>
    </sheetView>
  </sheetViews>
  <sheetFormatPr defaultRowHeight="15" outlineLevelRow="1" outlineLevelCol="1" x14ac:dyDescent="0.25"/>
  <cols>
    <col min="1" max="1" width="40.7109375" customWidth="1"/>
    <col min="2" max="2" width="12.42578125" hidden="1" customWidth="1" outlineLevel="1"/>
    <col min="3" max="11" width="13.140625" hidden="1" customWidth="1" outlineLevel="1"/>
    <col min="12" max="13" width="12.42578125" hidden="1" customWidth="1" outlineLevel="1"/>
    <col min="14" max="14" width="18.140625" customWidth="1" collapsed="1"/>
    <col min="15" max="15" width="3" customWidth="1"/>
    <col min="16" max="16" width="18.140625" style="64" customWidth="1" collapsed="1"/>
    <col min="17" max="17" width="18.140625" customWidth="1" collapsed="1"/>
    <col min="18" max="18" width="3" customWidth="1"/>
    <col min="19" max="19" width="18.140625" hidden="1" customWidth="1" outlineLevel="1" collapsed="1"/>
    <col min="20" max="21" width="18.140625" customWidth="1" collapsed="1"/>
    <col min="25" max="25" width="14.5703125" bestFit="1" customWidth="1"/>
  </cols>
  <sheetData>
    <row r="1" spans="1:21" ht="14.1" customHeight="1" x14ac:dyDescent="0.25">
      <c r="A1" s="322" t="s">
        <v>0</v>
      </c>
      <c r="B1" s="322"/>
    </row>
    <row r="2" spans="1:21" ht="34.5" customHeight="1" x14ac:dyDescent="0.25">
      <c r="A2" s="276" t="s">
        <v>1</v>
      </c>
      <c r="B2" s="276" t="s">
        <v>2</v>
      </c>
      <c r="C2" s="276" t="s">
        <v>3</v>
      </c>
      <c r="D2" s="276" t="s">
        <v>4</v>
      </c>
      <c r="E2" s="276" t="s">
        <v>5</v>
      </c>
      <c r="F2" s="276" t="s">
        <v>6</v>
      </c>
      <c r="G2" s="276" t="s">
        <v>7</v>
      </c>
      <c r="H2" s="276" t="s">
        <v>8</v>
      </c>
      <c r="I2" s="276" t="s">
        <v>9</v>
      </c>
      <c r="J2" s="276" t="s">
        <v>10</v>
      </c>
      <c r="K2" s="276" t="s">
        <v>11</v>
      </c>
      <c r="L2" s="276" t="s">
        <v>12</v>
      </c>
      <c r="M2" s="276" t="s">
        <v>13</v>
      </c>
      <c r="N2" s="276" t="s">
        <v>319</v>
      </c>
      <c r="O2" s="276"/>
      <c r="P2" s="312" t="s">
        <v>320</v>
      </c>
      <c r="Q2" s="276" t="s">
        <v>321</v>
      </c>
      <c r="R2" s="276"/>
      <c r="S2" s="276" t="s">
        <v>322</v>
      </c>
      <c r="T2" s="276" t="s">
        <v>323</v>
      </c>
      <c r="U2" s="276" t="s">
        <v>324</v>
      </c>
    </row>
    <row r="3" spans="1:21" ht="8.1" customHeight="1" x14ac:dyDescent="0.25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312"/>
      <c r="Q3" s="276"/>
      <c r="R3" s="276"/>
      <c r="S3" s="276"/>
      <c r="T3" s="276"/>
      <c r="U3" s="276"/>
    </row>
    <row r="4" spans="1:21" ht="29.25" customHeight="1" x14ac:dyDescent="0.25">
      <c r="A4" s="283" t="s">
        <v>80</v>
      </c>
      <c r="B4" s="285">
        <f>B5+B6+B7+B8+B9+B10+B11+B15+B16+B17+B18+B19+B20+B21+B22+B23+B24</f>
        <v>653130.78</v>
      </c>
      <c r="C4" s="285">
        <f t="shared" ref="C4:N4" si="0">C5+C6+C7+C8+C9+C10+C11+C15+C16+C17+C18+C19+C20+C21+C22+C23+C24</f>
        <v>653130.82000000007</v>
      </c>
      <c r="D4" s="285">
        <f t="shared" si="0"/>
        <v>653130.81000000006</v>
      </c>
      <c r="E4" s="285">
        <f t="shared" si="0"/>
        <v>653130.81000000006</v>
      </c>
      <c r="F4" s="285">
        <f t="shared" si="0"/>
        <v>653130.82000000007</v>
      </c>
      <c r="G4" s="285">
        <f t="shared" si="0"/>
        <v>653130.85000000009</v>
      </c>
      <c r="H4" s="285">
        <f t="shared" si="0"/>
        <v>879127.58999999985</v>
      </c>
      <c r="I4" s="285">
        <f t="shared" si="0"/>
        <v>728463.09000000008</v>
      </c>
      <c r="J4" s="285">
        <f t="shared" si="0"/>
        <v>728463.09000000008</v>
      </c>
      <c r="K4" s="285">
        <f t="shared" si="0"/>
        <v>728463.09000000008</v>
      </c>
      <c r="L4" s="285">
        <f t="shared" si="0"/>
        <v>728463.09000000008</v>
      </c>
      <c r="M4" s="285">
        <f t="shared" si="0"/>
        <v>728463.09000000008</v>
      </c>
      <c r="N4" s="285">
        <f t="shared" si="0"/>
        <v>8440227.9299999997</v>
      </c>
      <c r="O4" s="285"/>
      <c r="P4" s="313">
        <f>P5+P6+P7+P8+P9+P10+P11+P15+P16+P17+P18+P19+P20+P21+P22+P23+P24</f>
        <v>7783208.3799999999</v>
      </c>
      <c r="Q4" s="285">
        <f>N4-P4</f>
        <v>657019.54999999981</v>
      </c>
      <c r="R4" s="285"/>
      <c r="S4" s="285">
        <f t="shared" ref="S4:U4" si="1">S5+S6+S7+S8+S9+S10+S11+S15+S16+S17+S18+S19+S20+S21+S22+S23+S24</f>
        <v>56.321528093971679</v>
      </c>
      <c r="T4" s="285">
        <f t="shared" si="1"/>
        <v>7288923.3333565285</v>
      </c>
      <c r="U4" s="285">
        <f t="shared" si="1"/>
        <v>-494285.04664347193</v>
      </c>
    </row>
    <row r="5" spans="1:21" ht="18" customHeight="1" x14ac:dyDescent="0.25">
      <c r="A5" s="281" t="s">
        <v>49</v>
      </c>
      <c r="B5" s="278">
        <v>25012.37</v>
      </c>
      <c r="C5" s="278">
        <v>25012.36</v>
      </c>
      <c r="D5" s="278">
        <v>25012.37</v>
      </c>
      <c r="E5" s="278">
        <v>25012.37</v>
      </c>
      <c r="F5" s="278">
        <v>25012.38</v>
      </c>
      <c r="G5" s="278">
        <v>25012.38</v>
      </c>
      <c r="H5" s="278">
        <v>25012.36</v>
      </c>
      <c r="I5" s="278">
        <v>25012.37</v>
      </c>
      <c r="J5" s="278">
        <v>25012.37</v>
      </c>
      <c r="K5" s="278">
        <v>25012.37</v>
      </c>
      <c r="L5" s="278">
        <v>25012.37</v>
      </c>
      <c r="M5" s="278">
        <v>25012.37</v>
      </c>
      <c r="N5" s="278">
        <v>300148.44</v>
      </c>
      <c r="O5" s="278"/>
      <c r="P5" s="297">
        <f>'12.16_ИП'!I25</f>
        <v>300000</v>
      </c>
      <c r="Q5" s="278">
        <f t="shared" ref="Q5:Q57" si="2">N5-P5</f>
        <v>148.44000000000233</v>
      </c>
      <c r="R5" s="278"/>
      <c r="S5" s="278">
        <f>N5*$S$57/$N$57</f>
        <v>2.002886525817055</v>
      </c>
      <c r="T5" s="278">
        <f>$T$57*S5/$S$57</f>
        <v>259206.14774043925</v>
      </c>
      <c r="U5" s="297">
        <f>T5-P5</f>
        <v>-40793.85225956075</v>
      </c>
    </row>
    <row r="6" spans="1:21" ht="18" customHeight="1" x14ac:dyDescent="0.25">
      <c r="A6" s="281" t="s">
        <v>27</v>
      </c>
      <c r="B6" s="278">
        <v>17958.599999999999</v>
      </c>
      <c r="C6" s="278">
        <v>17958.599999999999</v>
      </c>
      <c r="D6" s="278">
        <v>17958.599999999999</v>
      </c>
      <c r="E6" s="278">
        <v>17958.599999999999</v>
      </c>
      <c r="F6" s="278">
        <v>17958.59</v>
      </c>
      <c r="G6" s="278">
        <v>17958.599999999999</v>
      </c>
      <c r="H6" s="278">
        <v>17958.599999999999</v>
      </c>
      <c r="I6" s="278">
        <v>17958.599999999999</v>
      </c>
      <c r="J6" s="278">
        <v>17958.599999999999</v>
      </c>
      <c r="K6" s="278">
        <v>17958.599999999999</v>
      </c>
      <c r="L6" s="278">
        <v>17958.599999999999</v>
      </c>
      <c r="M6" s="278">
        <v>17958.599999999999</v>
      </c>
      <c r="N6" s="278">
        <v>215503.19</v>
      </c>
      <c r="O6" s="278"/>
      <c r="P6" s="297">
        <f>'12.16_ИП'!I26</f>
        <v>2832</v>
      </c>
      <c r="Q6" s="278">
        <f t="shared" si="2"/>
        <v>212671.19</v>
      </c>
      <c r="R6" s="278"/>
      <c r="S6" s="278">
        <f t="shared" ref="S6:S9" si="3">N6*$S$57/$N$57</f>
        <v>1.4380499046458237</v>
      </c>
      <c r="T6" s="278">
        <f t="shared" ref="T6:T10" si="4">$T$57*S6/$S$57</f>
        <v>186107.08656582041</v>
      </c>
      <c r="U6" s="297">
        <f t="shared" ref="U6:U10" si="5">T6-P6</f>
        <v>183275.08656582041</v>
      </c>
    </row>
    <row r="7" spans="1:21" ht="24" x14ac:dyDescent="0.25">
      <c r="A7" s="281" t="s">
        <v>222</v>
      </c>
      <c r="B7" s="278">
        <v>25012.37</v>
      </c>
      <c r="C7" s="278">
        <v>25012.36</v>
      </c>
      <c r="D7" s="278">
        <v>25012.37</v>
      </c>
      <c r="E7" s="278">
        <v>25012.37</v>
      </c>
      <c r="F7" s="278">
        <v>25012.38</v>
      </c>
      <c r="G7" s="278">
        <v>25012.38</v>
      </c>
      <c r="H7" s="278">
        <v>25012.36</v>
      </c>
      <c r="I7" s="278">
        <v>25012.37</v>
      </c>
      <c r="J7" s="278">
        <v>25012.37</v>
      </c>
      <c r="K7" s="278">
        <v>25012.37</v>
      </c>
      <c r="L7" s="278">
        <v>25012.37</v>
      </c>
      <c r="M7" s="278">
        <v>25012.37</v>
      </c>
      <c r="N7" s="278">
        <v>300148.44</v>
      </c>
      <c r="O7" s="278"/>
      <c r="P7" s="297">
        <f>'12.16_ИП'!I27</f>
        <v>313830</v>
      </c>
      <c r="Q7" s="278">
        <f t="shared" si="2"/>
        <v>-13681.559999999998</v>
      </c>
      <c r="R7" s="278"/>
      <c r="S7" s="278">
        <f t="shared" si="3"/>
        <v>2.002886525817055</v>
      </c>
      <c r="T7" s="278">
        <f t="shared" si="4"/>
        <v>259206.14774043925</v>
      </c>
      <c r="U7" s="297">
        <f t="shared" si="5"/>
        <v>-54623.85225956075</v>
      </c>
    </row>
    <row r="8" spans="1:21" ht="18" customHeight="1" x14ac:dyDescent="0.25">
      <c r="A8" s="281" t="s">
        <v>30</v>
      </c>
      <c r="B8" s="278">
        <v>3979.11</v>
      </c>
      <c r="C8" s="278">
        <v>3979.11</v>
      </c>
      <c r="D8" s="278">
        <v>3979.12</v>
      </c>
      <c r="E8" s="278">
        <v>3979.12</v>
      </c>
      <c r="F8" s="278">
        <v>3979.12</v>
      </c>
      <c r="G8" s="278">
        <v>3979.13</v>
      </c>
      <c r="H8" s="278">
        <v>3979.12</v>
      </c>
      <c r="I8" s="278">
        <v>3979.12</v>
      </c>
      <c r="J8" s="278">
        <v>3979.12</v>
      </c>
      <c r="K8" s="278">
        <v>3979.12</v>
      </c>
      <c r="L8" s="278">
        <v>3979.12</v>
      </c>
      <c r="M8" s="278">
        <v>3979.12</v>
      </c>
      <c r="N8" s="278">
        <v>47749.43</v>
      </c>
      <c r="O8" s="278"/>
      <c r="P8" s="297">
        <f>'12.16_ИП'!I28</f>
        <v>48000</v>
      </c>
      <c r="Q8" s="278">
        <f t="shared" si="2"/>
        <v>-250.56999999999971</v>
      </c>
      <c r="R8" s="278"/>
      <c r="S8" s="278">
        <f t="shared" si="3"/>
        <v>0.31863130777039744</v>
      </c>
      <c r="T8" s="278">
        <f t="shared" si="4"/>
        <v>41236.082410096031</v>
      </c>
      <c r="U8" s="297">
        <f t="shared" si="5"/>
        <v>-6763.9175899039692</v>
      </c>
    </row>
    <row r="9" spans="1:21" ht="18" customHeight="1" x14ac:dyDescent="0.25">
      <c r="A9" s="281" t="s">
        <v>40</v>
      </c>
      <c r="B9" s="278">
        <v>3333.17</v>
      </c>
      <c r="C9" s="278">
        <v>3333.17</v>
      </c>
      <c r="D9" s="278">
        <v>3333.17</v>
      </c>
      <c r="E9" s="278">
        <v>3333.17</v>
      </c>
      <c r="F9" s="278">
        <v>3333.17</v>
      </c>
      <c r="G9" s="278">
        <v>3333.17</v>
      </c>
      <c r="H9" s="278">
        <v>3333.17</v>
      </c>
      <c r="I9" s="278">
        <v>3333.17</v>
      </c>
      <c r="J9" s="278">
        <v>3333.17</v>
      </c>
      <c r="K9" s="278">
        <v>3333.17</v>
      </c>
      <c r="L9" s="278">
        <v>3333.17</v>
      </c>
      <c r="M9" s="278">
        <v>3333.17</v>
      </c>
      <c r="N9" s="278">
        <v>39998.04</v>
      </c>
      <c r="O9" s="278"/>
      <c r="P9" s="297">
        <f>'12.16_ИП'!I29</f>
        <v>0</v>
      </c>
      <c r="Q9" s="278">
        <f t="shared" si="2"/>
        <v>39998.04</v>
      </c>
      <c r="R9" s="278"/>
      <c r="S9" s="278">
        <f t="shared" si="3"/>
        <v>0.26690638597052713</v>
      </c>
      <c r="T9" s="278">
        <f t="shared" si="4"/>
        <v>34542.034819731198</v>
      </c>
      <c r="U9" s="297">
        <f t="shared" si="5"/>
        <v>34542.034819731198</v>
      </c>
    </row>
    <row r="10" spans="1:21" ht="18" customHeight="1" x14ac:dyDescent="0.25">
      <c r="A10" s="281" t="s">
        <v>28</v>
      </c>
      <c r="B10" s="278">
        <v>9942.9</v>
      </c>
      <c r="C10" s="278">
        <v>9942.91</v>
      </c>
      <c r="D10" s="278">
        <v>9942.91</v>
      </c>
      <c r="E10" s="278">
        <v>9942.91</v>
      </c>
      <c r="F10" s="278">
        <v>9942.91</v>
      </c>
      <c r="G10" s="278">
        <v>9942.91</v>
      </c>
      <c r="H10" s="278">
        <v>9942.91</v>
      </c>
      <c r="I10" s="278">
        <v>9942.91</v>
      </c>
      <c r="J10" s="278">
        <v>9942.91</v>
      </c>
      <c r="K10" s="278">
        <v>9942.91</v>
      </c>
      <c r="L10" s="278">
        <v>9942.91</v>
      </c>
      <c r="M10" s="278">
        <v>9942.91</v>
      </c>
      <c r="N10" s="278">
        <v>119314.91</v>
      </c>
      <c r="O10" s="278"/>
      <c r="P10" s="297">
        <f>'12.16_ИП'!I30</f>
        <v>103014</v>
      </c>
      <c r="Q10" s="278">
        <f t="shared" si="2"/>
        <v>16300.910000000003</v>
      </c>
      <c r="R10" s="278"/>
      <c r="S10" s="278">
        <f>N10*$S$57/$N$57</f>
        <v>0.79618679866560227</v>
      </c>
      <c r="T10" s="278">
        <f t="shared" si="4"/>
        <v>103039.54333095055</v>
      </c>
      <c r="U10" s="297">
        <f t="shared" si="5"/>
        <v>25.543330950546078</v>
      </c>
    </row>
    <row r="11" spans="1:21" ht="18" customHeight="1" x14ac:dyDescent="0.25">
      <c r="A11" s="277" t="s">
        <v>39</v>
      </c>
      <c r="B11" s="278">
        <f>SUM(B12:B14)</f>
        <v>142408.70000000001</v>
      </c>
      <c r="C11" s="278">
        <f t="shared" ref="C11:P11" si="6">SUM(C12:C14)</f>
        <v>142408.70000000001</v>
      </c>
      <c r="D11" s="278">
        <f t="shared" si="6"/>
        <v>142408.70000000001</v>
      </c>
      <c r="E11" s="278">
        <f t="shared" si="6"/>
        <v>142408.70000000001</v>
      </c>
      <c r="F11" s="278">
        <f t="shared" si="6"/>
        <v>142408.69</v>
      </c>
      <c r="G11" s="278">
        <f t="shared" si="6"/>
        <v>142408.70000000001</v>
      </c>
      <c r="H11" s="278">
        <f t="shared" si="6"/>
        <v>167566.1</v>
      </c>
      <c r="I11" s="278">
        <f t="shared" si="6"/>
        <v>150794.5</v>
      </c>
      <c r="J11" s="278">
        <f t="shared" si="6"/>
        <v>150794.5</v>
      </c>
      <c r="K11" s="278">
        <f t="shared" si="6"/>
        <v>150794.5</v>
      </c>
      <c r="L11" s="278">
        <f t="shared" si="6"/>
        <v>150794.5</v>
      </c>
      <c r="M11" s="278">
        <f t="shared" si="6"/>
        <v>150794.5</v>
      </c>
      <c r="N11" s="278">
        <f t="shared" si="6"/>
        <v>1775990.79</v>
      </c>
      <c r="O11" s="278"/>
      <c r="P11" s="297">
        <f t="shared" si="6"/>
        <v>1559456.2000000002</v>
      </c>
      <c r="Q11" s="278">
        <f t="shared" si="2"/>
        <v>216534.58999999985</v>
      </c>
      <c r="R11" s="278"/>
      <c r="S11" s="278">
        <f t="shared" ref="S11" si="7">SUM(S12:S14)</f>
        <v>11.851162788872688</v>
      </c>
      <c r="T11" s="278">
        <f t="shared" ref="T11" si="8">SUM(T12:T14)</f>
        <v>1533733.5456362839</v>
      </c>
      <c r="U11" s="297">
        <f t="shared" ref="U11" si="9">SUM(U12:U14)</f>
        <v>-25722.654363716065</v>
      </c>
    </row>
    <row r="12" spans="1:21" ht="24" hidden="1" outlineLevel="1" x14ac:dyDescent="0.25">
      <c r="A12" s="279" t="s">
        <v>17</v>
      </c>
      <c r="B12" s="278">
        <v>7700.38</v>
      </c>
      <c r="C12" s="278">
        <v>7700.38</v>
      </c>
      <c r="D12" s="278">
        <v>7700.38</v>
      </c>
      <c r="E12" s="278">
        <v>7700.38</v>
      </c>
      <c r="F12" s="278">
        <v>7700.37</v>
      </c>
      <c r="G12" s="278">
        <v>7700.38</v>
      </c>
      <c r="H12" s="278">
        <v>7700.38</v>
      </c>
      <c r="I12" s="278">
        <v>7700.38</v>
      </c>
      <c r="J12" s="278">
        <v>7700.38</v>
      </c>
      <c r="K12" s="278">
        <v>7700.38</v>
      </c>
      <c r="L12" s="278">
        <v>7700.38</v>
      </c>
      <c r="M12" s="278">
        <v>7700.38</v>
      </c>
      <c r="N12" s="278">
        <v>92404.55</v>
      </c>
      <c r="O12" s="278"/>
      <c r="P12" s="297">
        <f>'12.16_ИП'!I34</f>
        <v>89857.56</v>
      </c>
      <c r="Q12" s="278">
        <f t="shared" si="2"/>
        <v>2546.9900000000052</v>
      </c>
      <c r="R12" s="278"/>
      <c r="S12" s="278">
        <f t="shared" ref="S12:S28" si="10">N12*$S$57/$N$57</f>
        <v>0.61661432629531032</v>
      </c>
      <c r="T12" s="278">
        <f t="shared" ref="T12:T24" si="11">$T$57*S12/$S$57</f>
        <v>79799.939787089374</v>
      </c>
      <c r="U12" s="297">
        <f t="shared" ref="U12:U28" si="12">T12-P12</f>
        <v>-10057.620212910624</v>
      </c>
    </row>
    <row r="13" spans="1:21" ht="24" hidden="1" outlineLevel="1" x14ac:dyDescent="0.25">
      <c r="A13" s="279" t="s">
        <v>32</v>
      </c>
      <c r="B13" s="278">
        <v>67354.16</v>
      </c>
      <c r="C13" s="278">
        <v>67354.16</v>
      </c>
      <c r="D13" s="278">
        <v>67354.16</v>
      </c>
      <c r="E13" s="278">
        <v>67354.16</v>
      </c>
      <c r="F13" s="278">
        <v>67354.16</v>
      </c>
      <c r="G13" s="278">
        <v>67354.16</v>
      </c>
      <c r="H13" s="278">
        <v>79932.86</v>
      </c>
      <c r="I13" s="278">
        <v>71547.06</v>
      </c>
      <c r="J13" s="278">
        <v>71547.06</v>
      </c>
      <c r="K13" s="278">
        <v>71547.06</v>
      </c>
      <c r="L13" s="278">
        <v>71547.06</v>
      </c>
      <c r="M13" s="278">
        <v>71547.06</v>
      </c>
      <c r="N13" s="278">
        <v>841793.12</v>
      </c>
      <c r="O13" s="278"/>
      <c r="P13" s="297">
        <f>'12.16_ИП'!I58</f>
        <v>733951.09499999997</v>
      </c>
      <c r="Q13" s="278">
        <f t="shared" si="2"/>
        <v>107842.02500000002</v>
      </c>
      <c r="R13" s="278"/>
      <c r="S13" s="278">
        <f t="shared" si="10"/>
        <v>5.6172742312886896</v>
      </c>
      <c r="T13" s="278">
        <f t="shared" si="11"/>
        <v>726966.80292459729</v>
      </c>
      <c r="U13" s="297">
        <f t="shared" si="12"/>
        <v>-6984.2920754026854</v>
      </c>
    </row>
    <row r="14" spans="1:21" ht="24" hidden="1" outlineLevel="1" x14ac:dyDescent="0.25">
      <c r="A14" s="279" t="s">
        <v>34</v>
      </c>
      <c r="B14" s="278">
        <v>67354.16</v>
      </c>
      <c r="C14" s="278">
        <v>67354.16</v>
      </c>
      <c r="D14" s="278">
        <v>67354.16</v>
      </c>
      <c r="E14" s="278">
        <v>67354.16</v>
      </c>
      <c r="F14" s="278">
        <v>67354.16</v>
      </c>
      <c r="G14" s="278">
        <v>67354.16</v>
      </c>
      <c r="H14" s="278">
        <v>79932.86</v>
      </c>
      <c r="I14" s="278">
        <v>71547.06</v>
      </c>
      <c r="J14" s="278">
        <v>71547.06</v>
      </c>
      <c r="K14" s="278">
        <v>71547.06</v>
      </c>
      <c r="L14" s="278">
        <v>71547.06</v>
      </c>
      <c r="M14" s="278">
        <v>71547.06</v>
      </c>
      <c r="N14" s="278">
        <v>841793.12</v>
      </c>
      <c r="O14" s="278"/>
      <c r="P14" s="297">
        <f>'12.16_ИП'!I61</f>
        <v>735647.54500000004</v>
      </c>
      <c r="Q14" s="278">
        <f t="shared" si="2"/>
        <v>106145.57499999995</v>
      </c>
      <c r="R14" s="278"/>
      <c r="S14" s="278">
        <f t="shared" si="10"/>
        <v>5.6172742312886896</v>
      </c>
      <c r="T14" s="278">
        <f t="shared" si="11"/>
        <v>726966.80292459729</v>
      </c>
      <c r="U14" s="297">
        <f t="shared" si="12"/>
        <v>-8680.7420754027553</v>
      </c>
    </row>
    <row r="15" spans="1:21" ht="18" customHeight="1" collapsed="1" x14ac:dyDescent="0.25">
      <c r="A15" s="277" t="s">
        <v>25</v>
      </c>
      <c r="B15" s="278">
        <v>37300.559999999998</v>
      </c>
      <c r="C15" s="278">
        <v>37300.57</v>
      </c>
      <c r="D15" s="278">
        <v>37300.559999999998</v>
      </c>
      <c r="E15" s="278">
        <v>37300.559999999998</v>
      </c>
      <c r="F15" s="278">
        <v>37300.550000000003</v>
      </c>
      <c r="G15" s="278">
        <v>37300.57</v>
      </c>
      <c r="H15" s="278">
        <v>41608.550000000003</v>
      </c>
      <c r="I15" s="278">
        <v>38736.559999999998</v>
      </c>
      <c r="J15" s="278">
        <v>38736.559999999998</v>
      </c>
      <c r="K15" s="278">
        <v>38736.559999999998</v>
      </c>
      <c r="L15" s="278">
        <v>38736.559999999998</v>
      </c>
      <c r="M15" s="278">
        <v>38736.559999999998</v>
      </c>
      <c r="N15" s="278">
        <v>459094.72</v>
      </c>
      <c r="O15" s="278"/>
      <c r="P15" s="297">
        <f>'12.16_ИП'!I35</f>
        <v>442481.23</v>
      </c>
      <c r="Q15" s="278">
        <f t="shared" si="2"/>
        <v>16613.489999999991</v>
      </c>
      <c r="R15" s="278"/>
      <c r="S15" s="278">
        <f t="shared" si="10"/>
        <v>3.0635329264471731</v>
      </c>
      <c r="T15" s="278">
        <f t="shared" si="11"/>
        <v>396471.07217740529</v>
      </c>
      <c r="U15" s="297">
        <f t="shared" si="12"/>
        <v>-46010.157822594687</v>
      </c>
    </row>
    <row r="16" spans="1:21" ht="18" customHeight="1" x14ac:dyDescent="0.25">
      <c r="A16" s="277" t="s">
        <v>19</v>
      </c>
      <c r="B16" s="278">
        <v>18610.47</v>
      </c>
      <c r="C16" s="278">
        <v>18610.47</v>
      </c>
      <c r="D16" s="278">
        <v>18610.47</v>
      </c>
      <c r="E16" s="278">
        <v>18610.47</v>
      </c>
      <c r="F16" s="278">
        <v>18610.47</v>
      </c>
      <c r="G16" s="278">
        <v>18610.48</v>
      </c>
      <c r="H16" s="278">
        <v>23597.86</v>
      </c>
      <c r="I16" s="278">
        <v>20272.939999999999</v>
      </c>
      <c r="J16" s="278">
        <v>20272.939999999999</v>
      </c>
      <c r="K16" s="278">
        <v>20272.939999999999</v>
      </c>
      <c r="L16" s="278">
        <v>20272.939999999999</v>
      </c>
      <c r="M16" s="278">
        <v>20272.939999999999</v>
      </c>
      <c r="N16" s="278">
        <v>236625.39</v>
      </c>
      <c r="O16" s="278"/>
      <c r="P16" s="297">
        <f>'12.16_ИП'!I41</f>
        <v>223322.88</v>
      </c>
      <c r="Q16" s="278">
        <f t="shared" si="2"/>
        <v>13302.510000000009</v>
      </c>
      <c r="R16" s="278"/>
      <c r="S16" s="278">
        <f t="shared" si="10"/>
        <v>1.5789980627492375</v>
      </c>
      <c r="T16" s="278">
        <f t="shared" si="11"/>
        <v>204348.07457096584</v>
      </c>
      <c r="U16" s="297">
        <f t="shared" si="12"/>
        <v>-18974.805429034168</v>
      </c>
    </row>
    <row r="17" spans="1:25" ht="18" customHeight="1" x14ac:dyDescent="0.25">
      <c r="A17" s="277" t="s">
        <v>48</v>
      </c>
      <c r="B17" s="278">
        <v>19592.990000000002</v>
      </c>
      <c r="C17" s="278">
        <v>19592.990000000002</v>
      </c>
      <c r="D17" s="278">
        <v>19592.990000000002</v>
      </c>
      <c r="E17" s="278">
        <v>19592.990000000002</v>
      </c>
      <c r="F17" s="278">
        <v>19593</v>
      </c>
      <c r="G17" s="278">
        <v>19592.990000000002</v>
      </c>
      <c r="H17" s="278">
        <v>21173.360000000001</v>
      </c>
      <c r="I17" s="278">
        <v>20119.78</v>
      </c>
      <c r="J17" s="278">
        <v>20119.78</v>
      </c>
      <c r="K17" s="278">
        <v>20119.78</v>
      </c>
      <c r="L17" s="278">
        <v>20119.78</v>
      </c>
      <c r="M17" s="278">
        <v>20119.78</v>
      </c>
      <c r="N17" s="278">
        <v>239330.21</v>
      </c>
      <c r="O17" s="278"/>
      <c r="P17" s="297">
        <f>'12.16_ИП'!I46</f>
        <v>239964</v>
      </c>
      <c r="Q17" s="278">
        <f t="shared" si="2"/>
        <v>-633.79000000000815</v>
      </c>
      <c r="R17" s="278"/>
      <c r="S17" s="278">
        <f t="shared" si="10"/>
        <v>1.5970472904339141</v>
      </c>
      <c r="T17" s="278">
        <f t="shared" si="11"/>
        <v>206683.93869383549</v>
      </c>
      <c r="U17" s="297">
        <f t="shared" si="12"/>
        <v>-33280.061306164513</v>
      </c>
    </row>
    <row r="18" spans="1:25" ht="18" customHeight="1" x14ac:dyDescent="0.25">
      <c r="A18" s="277" t="s">
        <v>31</v>
      </c>
      <c r="B18" s="278">
        <v>32518.74</v>
      </c>
      <c r="C18" s="278">
        <v>32518.74</v>
      </c>
      <c r="D18" s="278">
        <v>32518.74</v>
      </c>
      <c r="E18" s="278">
        <v>32518.74</v>
      </c>
      <c r="F18" s="278">
        <v>32518.73</v>
      </c>
      <c r="G18" s="278">
        <v>32518.74</v>
      </c>
      <c r="H18" s="278">
        <v>47688.66</v>
      </c>
      <c r="I18" s="278">
        <v>37575.379999999997</v>
      </c>
      <c r="J18" s="278">
        <v>37575.379999999997</v>
      </c>
      <c r="K18" s="278">
        <v>37575.379999999997</v>
      </c>
      <c r="L18" s="278">
        <v>37575.379999999997</v>
      </c>
      <c r="M18" s="278">
        <v>37575.379999999997</v>
      </c>
      <c r="N18" s="278">
        <v>430677.99</v>
      </c>
      <c r="O18" s="278"/>
      <c r="P18" s="297">
        <f>'12.16_ИП'!I54</f>
        <v>419852.33500000002</v>
      </c>
      <c r="Q18" s="278">
        <f t="shared" si="2"/>
        <v>10825.65499999997</v>
      </c>
      <c r="R18" s="278"/>
      <c r="S18" s="278">
        <f t="shared" si="10"/>
        <v>2.8739084672136639</v>
      </c>
      <c r="T18" s="278">
        <f t="shared" si="11"/>
        <v>371930.57776510657</v>
      </c>
      <c r="U18" s="297">
        <f t="shared" si="12"/>
        <v>-47921.757234893448</v>
      </c>
    </row>
    <row r="19" spans="1:25" ht="18" customHeight="1" x14ac:dyDescent="0.25">
      <c r="A19" s="277" t="s">
        <v>16</v>
      </c>
      <c r="B19" s="278">
        <v>13036.27</v>
      </c>
      <c r="C19" s="278">
        <v>13036.27</v>
      </c>
      <c r="D19" s="278">
        <v>13036.26</v>
      </c>
      <c r="E19" s="278">
        <v>13036.26</v>
      </c>
      <c r="F19" s="278">
        <v>13036.28</v>
      </c>
      <c r="G19" s="278">
        <v>13036.26</v>
      </c>
      <c r="H19" s="278">
        <v>18408.57</v>
      </c>
      <c r="I19" s="278">
        <v>14827.03</v>
      </c>
      <c r="J19" s="278">
        <v>14827.03</v>
      </c>
      <c r="K19" s="278">
        <v>14827.03</v>
      </c>
      <c r="L19" s="278">
        <v>14827.03</v>
      </c>
      <c r="M19" s="278">
        <v>14827.03</v>
      </c>
      <c r="N19" s="278">
        <v>170761.32</v>
      </c>
      <c r="O19" s="278"/>
      <c r="P19" s="297">
        <f>'12.16_ИП'!I53</f>
        <v>125707.50400000002</v>
      </c>
      <c r="Q19" s="278">
        <f t="shared" si="2"/>
        <v>45053.815999999992</v>
      </c>
      <c r="R19" s="278"/>
      <c r="S19" s="278">
        <f t="shared" si="10"/>
        <v>1.1394880045311393</v>
      </c>
      <c r="T19" s="278">
        <f t="shared" si="11"/>
        <v>147468.31247989304</v>
      </c>
      <c r="U19" s="297">
        <f t="shared" si="12"/>
        <v>21760.808479893021</v>
      </c>
    </row>
    <row r="20" spans="1:25" ht="18" customHeight="1" x14ac:dyDescent="0.25">
      <c r="A20" s="277" t="s">
        <v>21</v>
      </c>
      <c r="B20" s="278">
        <v>19529.97</v>
      </c>
      <c r="C20" s="278">
        <v>19529.97</v>
      </c>
      <c r="D20" s="278">
        <v>19529.97</v>
      </c>
      <c r="E20" s="278">
        <v>19529.97</v>
      </c>
      <c r="F20" s="278">
        <v>19529.97</v>
      </c>
      <c r="G20" s="278">
        <v>19529.97</v>
      </c>
      <c r="H20" s="278">
        <v>36690.839999999997</v>
      </c>
      <c r="I20" s="278">
        <v>25250.26</v>
      </c>
      <c r="J20" s="278">
        <v>25250.26</v>
      </c>
      <c r="K20" s="278">
        <v>25250.26</v>
      </c>
      <c r="L20" s="278">
        <v>25250.26</v>
      </c>
      <c r="M20" s="278">
        <v>25250.26</v>
      </c>
      <c r="N20" s="278">
        <v>280121.96000000002</v>
      </c>
      <c r="O20" s="278"/>
      <c r="P20" s="297">
        <f>'12.16_ИП'!I50</f>
        <v>257355.47100000002</v>
      </c>
      <c r="Q20" s="278">
        <f t="shared" si="2"/>
        <v>22766.489000000001</v>
      </c>
      <c r="R20" s="278"/>
      <c r="S20" s="278">
        <f t="shared" si="10"/>
        <v>1.8692500926190527</v>
      </c>
      <c r="T20" s="278">
        <f t="shared" si="11"/>
        <v>241911.41606167078</v>
      </c>
      <c r="U20" s="297">
        <f t="shared" si="12"/>
        <v>-15444.054938329238</v>
      </c>
    </row>
    <row r="21" spans="1:25" ht="18" customHeight="1" x14ac:dyDescent="0.25">
      <c r="A21" s="277" t="s">
        <v>37</v>
      </c>
      <c r="B21" s="278">
        <v>3867.87</v>
      </c>
      <c r="C21" s="278">
        <v>3867.89</v>
      </c>
      <c r="D21" s="278">
        <v>3867.88</v>
      </c>
      <c r="E21" s="278">
        <v>3867.88</v>
      </c>
      <c r="F21" s="278">
        <v>3867.88</v>
      </c>
      <c r="G21" s="278">
        <v>3867.88</v>
      </c>
      <c r="H21" s="278">
        <v>24926.5</v>
      </c>
      <c r="I21" s="278">
        <v>10887.42</v>
      </c>
      <c r="J21" s="278">
        <v>10887.42</v>
      </c>
      <c r="K21" s="278">
        <v>10887.42</v>
      </c>
      <c r="L21" s="278">
        <v>10887.42</v>
      </c>
      <c r="M21" s="278">
        <v>10887.42</v>
      </c>
      <c r="N21" s="278">
        <v>102570.88</v>
      </c>
      <c r="O21" s="278"/>
      <c r="P21" s="297">
        <f>'12.16_ИП'!I48</f>
        <v>98860.88</v>
      </c>
      <c r="Q21" s="278">
        <f t="shared" si="2"/>
        <v>3710</v>
      </c>
      <c r="R21" s="278"/>
      <c r="S21" s="278">
        <f t="shared" si="10"/>
        <v>0.68445411041682602</v>
      </c>
      <c r="T21" s="278">
        <f t="shared" si="11"/>
        <v>88579.513107404026</v>
      </c>
      <c r="U21" s="297">
        <f t="shared" si="12"/>
        <v>-10281.366892595979</v>
      </c>
    </row>
    <row r="22" spans="1:25" ht="18" customHeight="1" x14ac:dyDescent="0.25">
      <c r="A22" s="277" t="s">
        <v>20</v>
      </c>
      <c r="B22" s="278">
        <v>793.03</v>
      </c>
      <c r="C22" s="278">
        <v>793.04</v>
      </c>
      <c r="D22" s="278">
        <v>793.03</v>
      </c>
      <c r="E22" s="278">
        <v>793.03</v>
      </c>
      <c r="F22" s="278">
        <v>793.03</v>
      </c>
      <c r="G22" s="278">
        <v>793.02</v>
      </c>
      <c r="H22" s="278">
        <v>1835.48</v>
      </c>
      <c r="I22" s="278">
        <v>1140.51</v>
      </c>
      <c r="J22" s="278">
        <v>1140.51</v>
      </c>
      <c r="K22" s="278">
        <v>1140.51</v>
      </c>
      <c r="L22" s="278">
        <v>1140.51</v>
      </c>
      <c r="M22" s="278">
        <v>1140.51</v>
      </c>
      <c r="N22" s="278">
        <v>12296.21</v>
      </c>
      <c r="O22" s="278"/>
      <c r="P22" s="297">
        <f>'12.16_ИП'!I49</f>
        <v>12854.44</v>
      </c>
      <c r="Q22" s="278">
        <f t="shared" si="2"/>
        <v>-558.23000000000138</v>
      </c>
      <c r="R22" s="278"/>
      <c r="S22" s="278">
        <f t="shared" si="10"/>
        <v>8.2052444875665292E-2</v>
      </c>
      <c r="T22" s="278">
        <f t="shared" si="11"/>
        <v>10618.923176503822</v>
      </c>
      <c r="U22" s="297">
        <f t="shared" si="12"/>
        <v>-2235.5168234961784</v>
      </c>
    </row>
    <row r="23" spans="1:25" ht="18" customHeight="1" x14ac:dyDescent="0.25">
      <c r="A23" s="277" t="s">
        <v>42</v>
      </c>
      <c r="B23" s="278">
        <v>150003.6</v>
      </c>
      <c r="C23" s="278">
        <v>150003.6</v>
      </c>
      <c r="D23" s="278">
        <v>150003.60999999999</v>
      </c>
      <c r="E23" s="278">
        <v>150003.60999999999</v>
      </c>
      <c r="F23" s="278">
        <v>150003.6</v>
      </c>
      <c r="G23" s="278">
        <v>150003.60999999999</v>
      </c>
      <c r="H23" s="278">
        <v>150003.6</v>
      </c>
      <c r="I23" s="278">
        <v>150003.60999999999</v>
      </c>
      <c r="J23" s="278">
        <v>150003.60999999999</v>
      </c>
      <c r="K23" s="278">
        <v>150003.60999999999</v>
      </c>
      <c r="L23" s="278">
        <v>150003.60999999999</v>
      </c>
      <c r="M23" s="278">
        <v>150003.60999999999</v>
      </c>
      <c r="N23" s="278">
        <v>1800043.28</v>
      </c>
      <c r="O23" s="278"/>
      <c r="P23" s="297">
        <f>'12.16_ИП'!I57</f>
        <v>1798104.33</v>
      </c>
      <c r="Q23" s="278">
        <f t="shared" si="2"/>
        <v>1938.9499999999534</v>
      </c>
      <c r="R23" s="278"/>
      <c r="S23" s="278">
        <f t="shared" si="10"/>
        <v>12.011664732955255</v>
      </c>
      <c r="T23" s="278">
        <f t="shared" si="11"/>
        <v>1554505.1121200726</v>
      </c>
      <c r="U23" s="297">
        <f t="shared" si="12"/>
        <v>-243599.21787992748</v>
      </c>
    </row>
    <row r="24" spans="1:25" ht="18" customHeight="1" x14ac:dyDescent="0.25">
      <c r="A24" s="277" t="s">
        <v>15</v>
      </c>
      <c r="B24" s="278">
        <v>130230.06</v>
      </c>
      <c r="C24" s="278">
        <v>130230.07</v>
      </c>
      <c r="D24" s="278">
        <v>130230.06</v>
      </c>
      <c r="E24" s="278">
        <v>130230.06</v>
      </c>
      <c r="F24" s="278">
        <v>130230.07</v>
      </c>
      <c r="G24" s="278">
        <v>130230.06</v>
      </c>
      <c r="H24" s="278">
        <v>260389.55</v>
      </c>
      <c r="I24" s="278">
        <v>173616.56</v>
      </c>
      <c r="J24" s="278">
        <v>173616.56</v>
      </c>
      <c r="K24" s="278">
        <v>173616.56</v>
      </c>
      <c r="L24" s="278">
        <v>173616.56</v>
      </c>
      <c r="M24" s="278">
        <v>173616.56</v>
      </c>
      <c r="N24" s="278">
        <v>1909852.73</v>
      </c>
      <c r="O24" s="278"/>
      <c r="P24" s="297">
        <f>'12.16_ИП'!I64</f>
        <v>1837573.11</v>
      </c>
      <c r="Q24" s="278">
        <f t="shared" si="2"/>
        <v>72279.619999999879</v>
      </c>
      <c r="R24" s="278"/>
      <c r="S24" s="278">
        <f t="shared" si="10"/>
        <v>12.744421724170609</v>
      </c>
      <c r="T24" s="278">
        <f t="shared" si="11"/>
        <v>1649335.8049599102</v>
      </c>
      <c r="U24" s="297">
        <f t="shared" si="12"/>
        <v>-188237.30504008988</v>
      </c>
    </row>
    <row r="25" spans="1:25" ht="8.1" customHeight="1" x14ac:dyDescent="0.25">
      <c r="A25" s="276"/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312"/>
      <c r="Q25" s="276"/>
      <c r="R25" s="276"/>
      <c r="S25" s="276"/>
      <c r="T25" s="276"/>
      <c r="U25" s="276"/>
    </row>
    <row r="26" spans="1:25" ht="18" customHeight="1" x14ac:dyDescent="0.25">
      <c r="A26" s="283" t="s">
        <v>309</v>
      </c>
      <c r="B26" s="284">
        <v>44432.98</v>
      </c>
      <c r="C26" s="284">
        <v>44432.98</v>
      </c>
      <c r="D26" s="284">
        <v>44432.99</v>
      </c>
      <c r="E26" s="284">
        <v>44432.99</v>
      </c>
      <c r="F26" s="284">
        <v>44432.98</v>
      </c>
      <c r="G26" s="284">
        <v>44433</v>
      </c>
      <c r="H26" s="284">
        <v>44432.99</v>
      </c>
      <c r="I26" s="284">
        <v>44432.99</v>
      </c>
      <c r="J26" s="284">
        <v>44432.99</v>
      </c>
      <c r="K26" s="284">
        <v>44432.99</v>
      </c>
      <c r="L26" s="284">
        <v>44432.99</v>
      </c>
      <c r="M26" s="284">
        <v>44432.99</v>
      </c>
      <c r="N26" s="284">
        <v>533195.86</v>
      </c>
      <c r="O26" s="284"/>
      <c r="P26" s="314">
        <f>'12.16_ИП'!I22</f>
        <v>69179.600000000006</v>
      </c>
      <c r="Q26" s="284">
        <f t="shared" si="2"/>
        <v>464016.26</v>
      </c>
      <c r="R26" s="284"/>
      <c r="S26" s="284">
        <f t="shared" si="10"/>
        <v>3.5580088426094667</v>
      </c>
      <c r="T26" s="284">
        <f>$T$57*S26/$S$57</f>
        <v>460464.31179769116</v>
      </c>
      <c r="U26" s="284">
        <f t="shared" si="12"/>
        <v>391284.71179769118</v>
      </c>
    </row>
    <row r="27" spans="1:25" ht="8.1" customHeight="1" x14ac:dyDescent="0.25">
      <c r="A27" s="276"/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312"/>
      <c r="Q27" s="276"/>
      <c r="R27" s="276"/>
      <c r="S27" s="276"/>
      <c r="T27" s="276"/>
      <c r="U27" s="276"/>
    </row>
    <row r="28" spans="1:25" ht="18" customHeight="1" x14ac:dyDescent="0.25">
      <c r="A28" s="283" t="s">
        <v>310</v>
      </c>
      <c r="B28" s="282">
        <f>SUM(B29:B30)</f>
        <v>220536.73</v>
      </c>
      <c r="C28" s="282">
        <f t="shared" ref="C28:N28" si="13">SUM(C29:C30)</f>
        <v>220355.36</v>
      </c>
      <c r="D28" s="282">
        <f t="shared" si="13"/>
        <v>220355.35</v>
      </c>
      <c r="E28" s="282">
        <f t="shared" si="13"/>
        <v>220355.35</v>
      </c>
      <c r="F28" s="282">
        <f t="shared" si="13"/>
        <v>220355.35</v>
      </c>
      <c r="G28" s="282">
        <f t="shared" si="13"/>
        <v>220355.35</v>
      </c>
      <c r="H28" s="282">
        <f t="shared" si="13"/>
        <v>220355.36</v>
      </c>
      <c r="I28" s="282">
        <f t="shared" si="13"/>
        <v>220355.35</v>
      </c>
      <c r="J28" s="282">
        <f t="shared" si="13"/>
        <v>220355.35</v>
      </c>
      <c r="K28" s="282">
        <f t="shared" si="13"/>
        <v>220355.35</v>
      </c>
      <c r="L28" s="282">
        <f t="shared" si="13"/>
        <v>220355.35</v>
      </c>
      <c r="M28" s="282">
        <f t="shared" si="13"/>
        <v>220355.35</v>
      </c>
      <c r="N28" s="282">
        <f t="shared" si="13"/>
        <v>2644445.6</v>
      </c>
      <c r="O28" s="282"/>
      <c r="P28" s="313">
        <f>N28</f>
        <v>2644445.6</v>
      </c>
      <c r="Q28" s="282">
        <f t="shared" si="2"/>
        <v>0</v>
      </c>
      <c r="R28" s="282"/>
      <c r="S28" s="284">
        <f t="shared" si="10"/>
        <v>17.646350120947481</v>
      </c>
      <c r="T28" s="282">
        <f>$T$57*S28/$S$57</f>
        <v>2283725.2023870409</v>
      </c>
      <c r="U28" s="284">
        <f t="shared" si="12"/>
        <v>-360720.39761295915</v>
      </c>
    </row>
    <row r="29" spans="1:25" ht="18" hidden="1" customHeight="1" outlineLevel="1" x14ac:dyDescent="0.25">
      <c r="A29" s="277" t="s">
        <v>35</v>
      </c>
      <c r="B29" s="278">
        <v>177207.64</v>
      </c>
      <c r="C29" s="278">
        <v>177026.27</v>
      </c>
      <c r="D29" s="278">
        <v>177026.26</v>
      </c>
      <c r="E29" s="278">
        <v>177026.26</v>
      </c>
      <c r="F29" s="278">
        <v>177026.26</v>
      </c>
      <c r="G29" s="278">
        <v>177026.26</v>
      </c>
      <c r="H29" s="278">
        <v>177026.27</v>
      </c>
      <c r="I29" s="278">
        <v>177026.26</v>
      </c>
      <c r="J29" s="278">
        <v>177026.26</v>
      </c>
      <c r="K29" s="278">
        <v>177026.26</v>
      </c>
      <c r="L29" s="278">
        <v>177026.26</v>
      </c>
      <c r="M29" s="278">
        <v>177026.26</v>
      </c>
      <c r="N29" s="278">
        <v>2124496.52</v>
      </c>
      <c r="O29" s="278"/>
      <c r="P29" s="297"/>
      <c r="Q29" s="278"/>
      <c r="R29" s="278"/>
      <c r="S29" s="278"/>
      <c r="T29" s="278"/>
      <c r="U29" s="278"/>
    </row>
    <row r="30" spans="1:25" ht="18" hidden="1" customHeight="1" outlineLevel="1" x14ac:dyDescent="0.25">
      <c r="A30" s="277" t="s">
        <v>43</v>
      </c>
      <c r="B30" s="278">
        <v>43329.09</v>
      </c>
      <c r="C30" s="278">
        <v>43329.09</v>
      </c>
      <c r="D30" s="278">
        <v>43329.09</v>
      </c>
      <c r="E30" s="278">
        <v>43329.09</v>
      </c>
      <c r="F30" s="278">
        <v>43329.09</v>
      </c>
      <c r="G30" s="278">
        <v>43329.09</v>
      </c>
      <c r="H30" s="278">
        <v>43329.09</v>
      </c>
      <c r="I30" s="278">
        <v>43329.09</v>
      </c>
      <c r="J30" s="278">
        <v>43329.09</v>
      </c>
      <c r="K30" s="278">
        <v>43329.09</v>
      </c>
      <c r="L30" s="278">
        <v>43329.09</v>
      </c>
      <c r="M30" s="278">
        <v>43329.09</v>
      </c>
      <c r="N30" s="278">
        <v>519949.08</v>
      </c>
      <c r="O30" s="278"/>
      <c r="P30" s="297"/>
      <c r="Q30" s="278"/>
      <c r="R30" s="278"/>
      <c r="S30" s="278"/>
      <c r="T30" s="278"/>
      <c r="U30" s="278"/>
    </row>
    <row r="31" spans="1:25" ht="8.1" customHeight="1" collapsed="1" x14ac:dyDescent="0.25">
      <c r="A31" s="276"/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312"/>
      <c r="Q31" s="276"/>
      <c r="R31" s="276"/>
      <c r="S31" s="276"/>
      <c r="T31" s="276"/>
      <c r="U31" s="276"/>
    </row>
    <row r="32" spans="1:25" ht="18" customHeight="1" x14ac:dyDescent="0.25">
      <c r="A32" s="310" t="s">
        <v>192</v>
      </c>
      <c r="B32" s="311">
        <f>B28+B26+B4</f>
        <v>918100.49</v>
      </c>
      <c r="C32" s="311">
        <f t="shared" ref="C32:P32" si="14">C28+C26+C4</f>
        <v>917919.16</v>
      </c>
      <c r="D32" s="311">
        <f t="shared" si="14"/>
        <v>917919.15000000014</v>
      </c>
      <c r="E32" s="311">
        <f t="shared" si="14"/>
        <v>917919.15000000014</v>
      </c>
      <c r="F32" s="311">
        <f t="shared" si="14"/>
        <v>917919.15000000014</v>
      </c>
      <c r="G32" s="311">
        <f t="shared" si="14"/>
        <v>917919.20000000007</v>
      </c>
      <c r="H32" s="311">
        <f t="shared" si="14"/>
        <v>1143915.94</v>
      </c>
      <c r="I32" s="311">
        <f t="shared" si="14"/>
        <v>993251.43000000017</v>
      </c>
      <c r="J32" s="311">
        <f t="shared" si="14"/>
        <v>993251.43000000017</v>
      </c>
      <c r="K32" s="311">
        <f t="shared" si="14"/>
        <v>993251.43000000017</v>
      </c>
      <c r="L32" s="311">
        <f t="shared" si="14"/>
        <v>993251.43000000017</v>
      </c>
      <c r="M32" s="311">
        <f t="shared" si="14"/>
        <v>993251.43000000017</v>
      </c>
      <c r="N32" s="311">
        <f t="shared" si="14"/>
        <v>11617869.390000001</v>
      </c>
      <c r="O32" s="311"/>
      <c r="P32" s="315">
        <f t="shared" si="14"/>
        <v>10496833.58</v>
      </c>
      <c r="Q32" s="311">
        <f t="shared" si="2"/>
        <v>1121035.8100000005</v>
      </c>
      <c r="R32" s="311"/>
      <c r="S32" s="311">
        <f t="shared" ref="S32:U32" si="15">S28+S26+S4</f>
        <v>77.525887057528621</v>
      </c>
      <c r="T32" s="311">
        <f t="shared" si="15"/>
        <v>10033112.847541261</v>
      </c>
      <c r="U32" s="311">
        <f t="shared" si="15"/>
        <v>-463720.73245873989</v>
      </c>
      <c r="Y32" s="274"/>
    </row>
    <row r="33" spans="1:21" ht="18" customHeight="1" x14ac:dyDescent="0.25">
      <c r="A33" s="276"/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312"/>
      <c r="Q33" s="276"/>
      <c r="R33" s="276"/>
      <c r="S33" s="276"/>
      <c r="T33" s="276"/>
      <c r="U33" s="276"/>
    </row>
    <row r="34" spans="1:21" ht="18" customHeight="1" x14ac:dyDescent="0.25">
      <c r="A34" s="283" t="s">
        <v>44</v>
      </c>
      <c r="B34" s="284">
        <v>1802</v>
      </c>
      <c r="C34" s="284">
        <v>-412.8</v>
      </c>
      <c r="D34" s="284">
        <v>699.2</v>
      </c>
      <c r="E34" s="284">
        <v>699.2</v>
      </c>
      <c r="F34" s="284">
        <v>772.8</v>
      </c>
      <c r="G34" s="284">
        <v>846.4</v>
      </c>
      <c r="H34" s="284">
        <v>874</v>
      </c>
      <c r="I34" s="284">
        <v>874</v>
      </c>
      <c r="J34" s="284">
        <v>883.2</v>
      </c>
      <c r="K34" s="284">
        <v>892.4</v>
      </c>
      <c r="L34" s="284">
        <v>892.4</v>
      </c>
      <c r="M34" s="284">
        <v>892.4</v>
      </c>
      <c r="N34" s="284">
        <v>9715.2000000000007</v>
      </c>
      <c r="O34" s="284"/>
      <c r="P34" s="314">
        <f>КиБ_ОСВ!F30</f>
        <v>9558.7999999999993</v>
      </c>
      <c r="Q34" s="308">
        <f t="shared" si="2"/>
        <v>156.40000000000146</v>
      </c>
      <c r="R34" s="284"/>
      <c r="S34" s="284">
        <f t="shared" ref="S34:S36" si="16">N34*$S$57/$N$57</f>
        <v>6.4829399665105231E-2</v>
      </c>
      <c r="T34" s="284">
        <f t="shared" ref="T34:T36" si="17">$T$57*S34/$S$57</f>
        <v>8389.9805260620924</v>
      </c>
      <c r="U34" s="284">
        <f t="shared" ref="U34:U36" si="18">T34-P34</f>
        <v>-1168.8194739379069</v>
      </c>
    </row>
    <row r="35" spans="1:21" ht="18" customHeight="1" x14ac:dyDescent="0.25">
      <c r="A35" s="283" t="s">
        <v>23</v>
      </c>
      <c r="B35" s="284">
        <v>0</v>
      </c>
      <c r="C35" s="284">
        <v>0</v>
      </c>
      <c r="D35" s="284">
        <v>0</v>
      </c>
      <c r="E35" s="284">
        <v>0</v>
      </c>
      <c r="F35" s="284">
        <v>0</v>
      </c>
      <c r="G35" s="284">
        <v>0</v>
      </c>
      <c r="H35" s="284">
        <v>0</v>
      </c>
      <c r="I35" s="284">
        <v>0</v>
      </c>
      <c r="J35" s="284">
        <v>3235.95</v>
      </c>
      <c r="K35" s="284">
        <v>3235.95</v>
      </c>
      <c r="L35" s="284">
        <v>3172.5</v>
      </c>
      <c r="M35" s="284">
        <v>3172.5</v>
      </c>
      <c r="N35" s="284">
        <v>12816.9</v>
      </c>
      <c r="O35" s="284"/>
      <c r="P35" s="314">
        <f>КиБ_ОСВ!F29</f>
        <v>12816.9</v>
      </c>
      <c r="Q35" s="284">
        <f t="shared" si="2"/>
        <v>0</v>
      </c>
      <c r="R35" s="284"/>
      <c r="S35" s="284">
        <f t="shared" si="16"/>
        <v>8.5527002281753042E-2</v>
      </c>
      <c r="T35" s="284">
        <f t="shared" si="17"/>
        <v>11068.587512813448</v>
      </c>
      <c r="U35" s="284">
        <f t="shared" si="18"/>
        <v>-1748.3124871865512</v>
      </c>
    </row>
    <row r="36" spans="1:21" ht="18" customHeight="1" x14ac:dyDescent="0.25">
      <c r="A36" s="283" t="s">
        <v>38</v>
      </c>
      <c r="B36" s="309">
        <v>0</v>
      </c>
      <c r="C36" s="309">
        <v>0</v>
      </c>
      <c r="D36" s="284">
        <v>9670.43</v>
      </c>
      <c r="E36" s="284">
        <v>3082.56</v>
      </c>
      <c r="F36" s="284">
        <v>-0.01</v>
      </c>
      <c r="G36" s="284">
        <v>6499.55</v>
      </c>
      <c r="H36" s="284">
        <v>2415.23</v>
      </c>
      <c r="I36" s="284">
        <v>5255.07</v>
      </c>
      <c r="J36" s="284">
        <v>7688.42</v>
      </c>
      <c r="K36" s="284">
        <v>12976.69</v>
      </c>
      <c r="L36" s="284">
        <v>17401.29</v>
      </c>
      <c r="M36" s="284">
        <v>17859.63</v>
      </c>
      <c r="N36" s="284">
        <v>82848.86</v>
      </c>
      <c r="O36" s="284"/>
      <c r="P36" s="314"/>
      <c r="Q36" s="284">
        <f t="shared" si="2"/>
        <v>82848.86</v>
      </c>
      <c r="R36" s="284"/>
      <c r="S36" s="284">
        <f t="shared" si="16"/>
        <v>0.55284933472685582</v>
      </c>
      <c r="T36" s="284">
        <f t="shared" si="17"/>
        <v>71547.711010215382</v>
      </c>
      <c r="U36" s="284">
        <f t="shared" si="18"/>
        <v>71547.711010215382</v>
      </c>
    </row>
    <row r="37" spans="1:21" ht="8.1" customHeight="1" x14ac:dyDescent="0.25">
      <c r="A37" s="276"/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312"/>
      <c r="Q37" s="276"/>
      <c r="R37" s="276"/>
      <c r="S37" s="276"/>
      <c r="T37" s="276"/>
      <c r="U37" s="276"/>
    </row>
    <row r="38" spans="1:21" x14ac:dyDescent="0.25">
      <c r="A38" s="283" t="s">
        <v>315</v>
      </c>
      <c r="B38" s="285">
        <f>SUM(B39:B41)</f>
        <v>2254.2399999999998</v>
      </c>
      <c r="C38" s="285">
        <f t="shared" ref="C38:N38" si="19">SUM(C39:C41)</f>
        <v>3156.7699999999995</v>
      </c>
      <c r="D38" s="285">
        <f t="shared" si="19"/>
        <v>3526.75</v>
      </c>
      <c r="E38" s="285">
        <f t="shared" si="19"/>
        <v>5620.19</v>
      </c>
      <c r="F38" s="285">
        <f t="shared" si="19"/>
        <v>3347.84</v>
      </c>
      <c r="G38" s="285">
        <f t="shared" si="19"/>
        <v>4226.87</v>
      </c>
      <c r="H38" s="285">
        <f t="shared" si="19"/>
        <v>3982.4</v>
      </c>
      <c r="I38" s="285">
        <f t="shared" si="19"/>
        <v>4264.3500000000004</v>
      </c>
      <c r="J38" s="285">
        <f t="shared" si="19"/>
        <v>4784.8499999999995</v>
      </c>
      <c r="K38" s="285">
        <f t="shared" si="19"/>
        <v>6584.21</v>
      </c>
      <c r="L38" s="285">
        <f t="shared" si="19"/>
        <v>8318.35</v>
      </c>
      <c r="M38" s="285">
        <f t="shared" si="19"/>
        <v>8223.4500000000007</v>
      </c>
      <c r="N38" s="285">
        <f t="shared" si="19"/>
        <v>58290.27</v>
      </c>
      <c r="O38" s="285"/>
      <c r="P38" s="313">
        <f>КиБ_ОСВ!F31-КиБ_ОСВ!F32</f>
        <v>58276.43</v>
      </c>
      <c r="Q38" s="285">
        <f t="shared" si="2"/>
        <v>13.839999999996508</v>
      </c>
      <c r="R38" s="285"/>
      <c r="S38" s="284">
        <f t="shared" ref="S38" si="20">N38*$S$57/$N$57</f>
        <v>0.38897019211306949</v>
      </c>
      <c r="T38" s="282">
        <f>$T$57*S38/$S$57</f>
        <v>50339.080014709041</v>
      </c>
      <c r="U38" s="284">
        <f t="shared" ref="U38" si="21">T38-P38</f>
        <v>-7937.349985290959</v>
      </c>
    </row>
    <row r="39" spans="1:21" ht="18" customHeight="1" x14ac:dyDescent="0.25">
      <c r="A39" s="277" t="s">
        <v>50</v>
      </c>
      <c r="B39" s="278">
        <v>1115.3399999999999</v>
      </c>
      <c r="C39" s="278">
        <v>1491.57</v>
      </c>
      <c r="D39" s="278">
        <v>1480.11</v>
      </c>
      <c r="E39" s="278">
        <v>2214.54</v>
      </c>
      <c r="F39" s="278">
        <v>2382.39</v>
      </c>
      <c r="G39" s="278">
        <v>1162.02</v>
      </c>
      <c r="H39" s="278">
        <v>3186.89</v>
      </c>
      <c r="I39" s="278">
        <v>2335.71</v>
      </c>
      <c r="J39" s="278">
        <v>2259.39</v>
      </c>
      <c r="K39" s="278">
        <v>2812.18</v>
      </c>
      <c r="L39" s="278">
        <v>3267.45</v>
      </c>
      <c r="M39" s="278">
        <v>2913.94</v>
      </c>
      <c r="N39" s="278">
        <v>26621.53</v>
      </c>
      <c r="O39" s="278"/>
      <c r="P39" s="297"/>
      <c r="Q39" s="278">
        <f t="shared" si="2"/>
        <v>26621.53</v>
      </c>
      <c r="R39" s="278"/>
      <c r="S39" s="278"/>
      <c r="T39" s="278"/>
      <c r="U39" s="278"/>
    </row>
    <row r="40" spans="1:21" ht="18" customHeight="1" x14ac:dyDescent="0.25">
      <c r="A40" s="277" t="s">
        <v>24</v>
      </c>
      <c r="B40" s="278">
        <v>630.04</v>
      </c>
      <c r="C40" s="278">
        <v>1110.08</v>
      </c>
      <c r="D40" s="278">
        <v>936.4</v>
      </c>
      <c r="E40" s="278">
        <v>1902.2</v>
      </c>
      <c r="F40" s="278">
        <v>-214.18</v>
      </c>
      <c r="G40" s="278">
        <v>2486.6</v>
      </c>
      <c r="H40" s="278">
        <v>-527.37</v>
      </c>
      <c r="I40" s="278">
        <v>707.52</v>
      </c>
      <c r="J40" s="278">
        <v>1635.06</v>
      </c>
      <c r="K40" s="278">
        <v>2449.15</v>
      </c>
      <c r="L40" s="278">
        <v>3015.7</v>
      </c>
      <c r="M40" s="278">
        <v>3732.23</v>
      </c>
      <c r="N40" s="278">
        <v>17863.43</v>
      </c>
      <c r="O40" s="278"/>
      <c r="P40" s="297"/>
      <c r="Q40" s="278">
        <f t="shared" si="2"/>
        <v>17863.43</v>
      </c>
      <c r="R40" s="278"/>
      <c r="S40" s="278"/>
      <c r="T40" s="278"/>
      <c r="U40" s="278"/>
    </row>
    <row r="41" spans="1:21" ht="18" customHeight="1" x14ac:dyDescent="0.25">
      <c r="A41" s="277" t="s">
        <v>36</v>
      </c>
      <c r="B41" s="278">
        <v>508.86</v>
      </c>
      <c r="C41" s="278">
        <v>555.12</v>
      </c>
      <c r="D41" s="278">
        <v>1110.24</v>
      </c>
      <c r="E41" s="278">
        <v>1503.45</v>
      </c>
      <c r="F41" s="278">
        <v>1179.6300000000001</v>
      </c>
      <c r="G41" s="278">
        <v>578.25</v>
      </c>
      <c r="H41" s="278">
        <v>1322.88</v>
      </c>
      <c r="I41" s="278">
        <v>1221.1199999999999</v>
      </c>
      <c r="J41" s="278">
        <v>890.4</v>
      </c>
      <c r="K41" s="278">
        <v>1322.88</v>
      </c>
      <c r="L41" s="278">
        <v>2035.2</v>
      </c>
      <c r="M41" s="278">
        <v>1577.28</v>
      </c>
      <c r="N41" s="278">
        <v>13805.31</v>
      </c>
      <c r="O41" s="278"/>
      <c r="P41" s="297"/>
      <c r="Q41" s="278">
        <f t="shared" si="2"/>
        <v>13805.31</v>
      </c>
      <c r="R41" s="278"/>
      <c r="S41" s="278"/>
      <c r="T41" s="278"/>
      <c r="U41" s="278"/>
    </row>
    <row r="42" spans="1:21" ht="8.1" customHeight="1" x14ac:dyDescent="0.25">
      <c r="A42" s="276"/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312"/>
      <c r="Q42" s="276"/>
      <c r="R42" s="276"/>
      <c r="S42" s="276"/>
      <c r="T42" s="276"/>
      <c r="U42" s="276"/>
    </row>
    <row r="43" spans="1:21" x14ac:dyDescent="0.25">
      <c r="A43" s="283" t="s">
        <v>316</v>
      </c>
      <c r="B43" s="285">
        <f>SUM(B44:B45)</f>
        <v>1688.81</v>
      </c>
      <c r="C43" s="285">
        <f t="shared" ref="C43:N43" si="22">SUM(C44:C45)</f>
        <v>2076.5100000000002</v>
      </c>
      <c r="D43" s="285">
        <f t="shared" si="22"/>
        <v>2610.23</v>
      </c>
      <c r="E43" s="285">
        <f t="shared" si="22"/>
        <v>3732.9</v>
      </c>
      <c r="F43" s="285">
        <f t="shared" si="22"/>
        <v>3562.02</v>
      </c>
      <c r="G43" s="285">
        <f t="shared" si="22"/>
        <v>1765.12</v>
      </c>
      <c r="H43" s="285">
        <f t="shared" si="22"/>
        <v>4515.33</v>
      </c>
      <c r="I43" s="285">
        <f t="shared" si="22"/>
        <v>3573.5099999999998</v>
      </c>
      <c r="J43" s="285">
        <f t="shared" si="22"/>
        <v>3166.4700000000003</v>
      </c>
      <c r="K43" s="285">
        <f t="shared" si="22"/>
        <v>4146.18</v>
      </c>
      <c r="L43" s="285">
        <f t="shared" si="22"/>
        <v>5352.69</v>
      </c>
      <c r="M43" s="285">
        <f t="shared" si="22"/>
        <v>4502.34</v>
      </c>
      <c r="N43" s="285">
        <f t="shared" si="22"/>
        <v>40692.11</v>
      </c>
      <c r="O43" s="285"/>
      <c r="P43" s="313">
        <f>КиБ_ОСВ!F2-КиБ_ОСВ!F3</f>
        <v>58745.960000000006</v>
      </c>
      <c r="Q43" s="285">
        <f t="shared" si="2"/>
        <v>-18053.850000000006</v>
      </c>
      <c r="R43" s="285"/>
      <c r="S43" s="284">
        <f t="shared" ref="S43" si="23">N43*$S$57/$N$57</f>
        <v>0.27153790579776277</v>
      </c>
      <c r="T43" s="282">
        <f>$T$57*S43/$S$57</f>
        <v>35141.428942726496</v>
      </c>
      <c r="U43" s="284">
        <f t="shared" ref="U43" si="24">T43-P43</f>
        <v>-23604.531057273511</v>
      </c>
    </row>
    <row r="44" spans="1:21" ht="18" customHeight="1" x14ac:dyDescent="0.25">
      <c r="A44" s="277" t="s">
        <v>14</v>
      </c>
      <c r="B44" s="280">
        <v>0</v>
      </c>
      <c r="C44" s="280">
        <v>0</v>
      </c>
      <c r="D44" s="280">
        <v>0</v>
      </c>
      <c r="E44" s="280">
        <v>0</v>
      </c>
      <c r="F44" s="278">
        <v>1179.6300000000001</v>
      </c>
      <c r="G44" s="278">
        <v>578.25</v>
      </c>
      <c r="H44" s="278">
        <v>1322.88</v>
      </c>
      <c r="I44" s="278">
        <v>1221.1199999999999</v>
      </c>
      <c r="J44" s="278">
        <v>890.4</v>
      </c>
      <c r="K44" s="278">
        <v>1322.88</v>
      </c>
      <c r="L44" s="278">
        <v>2035.2</v>
      </c>
      <c r="M44" s="278">
        <v>1577.28</v>
      </c>
      <c r="N44" s="278">
        <v>10127.64</v>
      </c>
      <c r="O44" s="278"/>
      <c r="P44" s="297"/>
      <c r="Q44" s="278">
        <f t="shared" si="2"/>
        <v>10127.64</v>
      </c>
      <c r="R44" s="278"/>
      <c r="S44" s="278"/>
      <c r="T44" s="278"/>
      <c r="U44" s="278"/>
    </row>
    <row r="45" spans="1:21" ht="18" customHeight="1" x14ac:dyDescent="0.25">
      <c r="A45" s="277" t="s">
        <v>33</v>
      </c>
      <c r="B45" s="278">
        <v>1688.81</v>
      </c>
      <c r="C45" s="278">
        <v>2076.5100000000002</v>
      </c>
      <c r="D45" s="278">
        <v>2610.23</v>
      </c>
      <c r="E45" s="278">
        <v>3732.9</v>
      </c>
      <c r="F45" s="278">
        <v>2382.39</v>
      </c>
      <c r="G45" s="278">
        <v>1186.8699999999999</v>
      </c>
      <c r="H45" s="278">
        <v>3192.45</v>
      </c>
      <c r="I45" s="278">
        <v>2352.39</v>
      </c>
      <c r="J45" s="278">
        <v>2276.0700000000002</v>
      </c>
      <c r="K45" s="278">
        <v>2823.3</v>
      </c>
      <c r="L45" s="278">
        <v>3317.49</v>
      </c>
      <c r="M45" s="278">
        <v>2925.06</v>
      </c>
      <c r="N45" s="278">
        <v>30564.47</v>
      </c>
      <c r="O45" s="278"/>
      <c r="P45" s="297"/>
      <c r="Q45" s="278">
        <f t="shared" si="2"/>
        <v>30564.47</v>
      </c>
      <c r="R45" s="278"/>
      <c r="S45" s="278"/>
      <c r="T45" s="278"/>
      <c r="U45" s="278"/>
    </row>
    <row r="46" spans="1:21" ht="8.1" customHeight="1" x14ac:dyDescent="0.25">
      <c r="A46" s="276"/>
      <c r="B46" s="276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312"/>
      <c r="Q46" s="276"/>
      <c r="R46" s="276"/>
      <c r="S46" s="276"/>
      <c r="T46" s="276"/>
      <c r="U46" s="276"/>
    </row>
    <row r="47" spans="1:21" x14ac:dyDescent="0.25">
      <c r="A47" s="283" t="s">
        <v>45</v>
      </c>
      <c r="B47" s="285">
        <f>SUM(B48:B50)</f>
        <v>351049.33999999997</v>
      </c>
      <c r="C47" s="285">
        <f t="shared" ref="C47:N47" si="25">SUM(C48:C50)</f>
        <v>184487.58000000002</v>
      </c>
      <c r="D47" s="285">
        <f t="shared" si="25"/>
        <v>207784.3</v>
      </c>
      <c r="E47" s="285">
        <f t="shared" si="25"/>
        <v>119941.01999999999</v>
      </c>
      <c r="F47" s="285">
        <f t="shared" si="25"/>
        <v>32109.86</v>
      </c>
      <c r="G47" s="285">
        <f t="shared" si="25"/>
        <v>14726.79</v>
      </c>
      <c r="H47" s="285">
        <f t="shared" si="25"/>
        <v>19995.440000000002</v>
      </c>
      <c r="I47" s="285">
        <f t="shared" si="25"/>
        <v>15158.73</v>
      </c>
      <c r="J47" s="285">
        <f t="shared" si="25"/>
        <v>63122.43</v>
      </c>
      <c r="K47" s="285">
        <f t="shared" si="25"/>
        <v>173518.65</v>
      </c>
      <c r="L47" s="285">
        <f t="shared" si="25"/>
        <v>253204.65999999997</v>
      </c>
      <c r="M47" s="285">
        <f t="shared" si="25"/>
        <v>319863.47000000003</v>
      </c>
      <c r="N47" s="285">
        <f t="shared" si="25"/>
        <v>1754962.27</v>
      </c>
      <c r="O47" s="285"/>
      <c r="P47" s="313">
        <f>КиБ_ОСВ!F16</f>
        <v>1754961.22</v>
      </c>
      <c r="Q47" s="285">
        <f t="shared" si="2"/>
        <v>1.0500000000465661</v>
      </c>
      <c r="R47" s="285"/>
      <c r="S47" s="284">
        <f t="shared" ref="S47" si="26">N47*$S$57/$N$57</f>
        <v>11.710839756156362</v>
      </c>
      <c r="T47" s="282">
        <f>$T$57*S47/$S$57</f>
        <v>1515573.4590408555</v>
      </c>
      <c r="U47" s="284">
        <f t="shared" ref="U47" si="27">T47-P47</f>
        <v>-239387.76095914445</v>
      </c>
    </row>
    <row r="48" spans="1:21" ht="24" x14ac:dyDescent="0.25">
      <c r="A48" s="277" t="s">
        <v>29</v>
      </c>
      <c r="B48" s="278">
        <v>2035.17</v>
      </c>
      <c r="C48" s="278">
        <v>2220.16</v>
      </c>
      <c r="D48" s="278">
        <v>4440.34</v>
      </c>
      <c r="E48" s="278">
        <v>6012.95</v>
      </c>
      <c r="F48" s="278">
        <v>4717.8599999999997</v>
      </c>
      <c r="G48" s="278">
        <v>2312.67</v>
      </c>
      <c r="H48" s="278">
        <v>5060.51</v>
      </c>
      <c r="I48" s="278">
        <v>4671.2299999999996</v>
      </c>
      <c r="J48" s="278">
        <v>3406.11</v>
      </c>
      <c r="K48" s="278">
        <v>5060.49</v>
      </c>
      <c r="L48" s="278">
        <v>7785.36</v>
      </c>
      <c r="M48" s="278">
        <v>6033.67</v>
      </c>
      <c r="N48" s="278">
        <v>53756.52</v>
      </c>
      <c r="O48" s="278"/>
      <c r="P48" s="297"/>
      <c r="Q48" s="278">
        <f t="shared" si="2"/>
        <v>53756.52</v>
      </c>
      <c r="R48" s="278"/>
      <c r="S48" s="278"/>
      <c r="T48" s="278"/>
      <c r="U48" s="278"/>
    </row>
    <row r="49" spans="1:21" ht="18" customHeight="1" x14ac:dyDescent="0.25">
      <c r="A49" s="277" t="s">
        <v>47</v>
      </c>
      <c r="B49" s="278">
        <v>121006.2</v>
      </c>
      <c r="C49" s="278">
        <v>91083.71</v>
      </c>
      <c r="D49" s="278">
        <v>44635.09</v>
      </c>
      <c r="E49" s="278">
        <v>-20657.919999999998</v>
      </c>
      <c r="F49" s="278">
        <v>7416.68</v>
      </c>
      <c r="G49" s="278">
        <v>11894.62</v>
      </c>
      <c r="H49" s="278">
        <v>14928.43</v>
      </c>
      <c r="I49" s="278">
        <v>10487.5</v>
      </c>
      <c r="J49" s="278">
        <v>53664.2</v>
      </c>
      <c r="K49" s="278">
        <v>84079.37</v>
      </c>
      <c r="L49" s="278">
        <v>93027.25</v>
      </c>
      <c r="M49" s="278">
        <v>153244.92000000001</v>
      </c>
      <c r="N49" s="278">
        <v>664810.05000000005</v>
      </c>
      <c r="O49" s="278"/>
      <c r="P49" s="297"/>
      <c r="Q49" s="278">
        <f t="shared" si="2"/>
        <v>664810.05000000005</v>
      </c>
      <c r="R49" s="278"/>
      <c r="S49" s="278"/>
      <c r="T49" s="278"/>
      <c r="U49" s="278"/>
    </row>
    <row r="50" spans="1:21" ht="18" customHeight="1" x14ac:dyDescent="0.25">
      <c r="A50" s="277" t="s">
        <v>45</v>
      </c>
      <c r="B50" s="278">
        <v>228007.97</v>
      </c>
      <c r="C50" s="278">
        <v>91183.71</v>
      </c>
      <c r="D50" s="278">
        <v>158708.87</v>
      </c>
      <c r="E50" s="278">
        <v>134585.99</v>
      </c>
      <c r="F50" s="278">
        <v>19975.32</v>
      </c>
      <c r="G50" s="278">
        <v>519.5</v>
      </c>
      <c r="H50" s="278">
        <v>6.5</v>
      </c>
      <c r="I50" s="278">
        <v>0</v>
      </c>
      <c r="J50" s="278">
        <v>6052.12</v>
      </c>
      <c r="K50" s="278">
        <v>84378.79</v>
      </c>
      <c r="L50" s="278">
        <v>152392.04999999999</v>
      </c>
      <c r="M50" s="278">
        <v>160584.88</v>
      </c>
      <c r="N50" s="278">
        <v>1036395.7</v>
      </c>
      <c r="O50" s="278"/>
      <c r="P50" s="297"/>
      <c r="Q50" s="278">
        <f t="shared" si="2"/>
        <v>1036395.7</v>
      </c>
      <c r="R50" s="278"/>
      <c r="S50" s="278"/>
      <c r="T50" s="278"/>
      <c r="U50" s="278"/>
    </row>
    <row r="51" spans="1:21" ht="8.1" customHeight="1" x14ac:dyDescent="0.25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97"/>
      <c r="Q51" s="278"/>
      <c r="R51" s="278"/>
      <c r="S51" s="278"/>
      <c r="T51" s="278"/>
      <c r="U51" s="278"/>
    </row>
    <row r="52" spans="1:21" x14ac:dyDescent="0.25">
      <c r="A52" s="283" t="s">
        <v>317</v>
      </c>
      <c r="B52" s="285">
        <f>SUM(B53:B56)</f>
        <v>140649.76999999999</v>
      </c>
      <c r="C52" s="285">
        <f t="shared" ref="C52:N52" si="28">SUM(C53:C56)</f>
        <v>122750.68</v>
      </c>
      <c r="D52" s="285">
        <f t="shared" si="28"/>
        <v>104483.78</v>
      </c>
      <c r="E52" s="285">
        <f t="shared" si="28"/>
        <v>133998.59000000003</v>
      </c>
      <c r="F52" s="285">
        <f t="shared" si="28"/>
        <v>96583.32</v>
      </c>
      <c r="G52" s="285">
        <f t="shared" si="28"/>
        <v>102403.43</v>
      </c>
      <c r="H52" s="285">
        <f t="shared" si="28"/>
        <v>103432.11000000002</v>
      </c>
      <c r="I52" s="285">
        <f t="shared" si="28"/>
        <v>117189.40000000001</v>
      </c>
      <c r="J52" s="285">
        <f t="shared" si="28"/>
        <v>111547.34999999999</v>
      </c>
      <c r="K52" s="285">
        <f t="shared" si="28"/>
        <v>119941.4</v>
      </c>
      <c r="L52" s="285">
        <f t="shared" si="28"/>
        <v>131999.57</v>
      </c>
      <c r="M52" s="285">
        <f t="shared" si="28"/>
        <v>123619.16</v>
      </c>
      <c r="N52" s="285">
        <f t="shared" si="28"/>
        <v>1408598.5599999998</v>
      </c>
      <c r="O52" s="285"/>
      <c r="P52" s="313">
        <f>КиБ_ОСВ!F45</f>
        <v>1408588.61</v>
      </c>
      <c r="Q52" s="285">
        <f t="shared" si="2"/>
        <v>9.9499999997206032</v>
      </c>
      <c r="R52" s="285"/>
      <c r="S52" s="284">
        <f t="shared" ref="S52" si="29">N52*$S$57/$N$57</f>
        <v>9.399559351730451</v>
      </c>
      <c r="T52" s="282">
        <f>$T$57*S52/$S$57</f>
        <v>1216456.1190134119</v>
      </c>
      <c r="U52" s="284">
        <f t="shared" ref="U52" si="30">T52-P52</f>
        <v>-192132.49098658818</v>
      </c>
    </row>
    <row r="53" spans="1:21" ht="18" customHeight="1" x14ac:dyDescent="0.25">
      <c r="A53" s="277" t="s">
        <v>26</v>
      </c>
      <c r="B53" s="278">
        <v>92603.76</v>
      </c>
      <c r="C53" s="278">
        <v>81032.77</v>
      </c>
      <c r="D53" s="278">
        <v>68190.350000000006</v>
      </c>
      <c r="E53" s="278">
        <v>88296.52</v>
      </c>
      <c r="F53" s="278">
        <v>63365.24</v>
      </c>
      <c r="G53" s="278">
        <v>66031.28</v>
      </c>
      <c r="H53" s="278">
        <v>65373.01</v>
      </c>
      <c r="I53" s="278">
        <v>74958</v>
      </c>
      <c r="J53" s="278">
        <v>71409.009999999995</v>
      </c>
      <c r="K53" s="278">
        <v>71187.02</v>
      </c>
      <c r="L53" s="278">
        <v>84198.02</v>
      </c>
      <c r="M53" s="278">
        <v>79770</v>
      </c>
      <c r="N53" s="278">
        <v>906414.98</v>
      </c>
      <c r="O53" s="278"/>
      <c r="P53" s="297"/>
      <c r="Q53" s="278">
        <f t="shared" si="2"/>
        <v>906414.98</v>
      </c>
      <c r="R53" s="278"/>
      <c r="S53" s="278"/>
      <c r="T53" s="278"/>
      <c r="U53" s="278"/>
    </row>
    <row r="54" spans="1:21" ht="24" x14ac:dyDescent="0.25">
      <c r="A54" s="277" t="s">
        <v>18</v>
      </c>
      <c r="B54" s="280">
        <v>0</v>
      </c>
      <c r="C54" s="280">
        <v>0</v>
      </c>
      <c r="D54" s="280">
        <v>0</v>
      </c>
      <c r="E54" s="280">
        <v>0</v>
      </c>
      <c r="F54" s="280">
        <v>0</v>
      </c>
      <c r="G54" s="280">
        <v>0</v>
      </c>
      <c r="H54" s="280">
        <v>0</v>
      </c>
      <c r="I54" s="280">
        <v>0</v>
      </c>
      <c r="J54" s="280">
        <v>0</v>
      </c>
      <c r="K54" s="278">
        <v>8112</v>
      </c>
      <c r="L54" s="278">
        <v>3717</v>
      </c>
      <c r="M54" s="278">
        <v>1713</v>
      </c>
      <c r="N54" s="278">
        <v>13542</v>
      </c>
      <c r="O54" s="278"/>
      <c r="P54" s="297"/>
      <c r="Q54" s="278">
        <f t="shared" si="2"/>
        <v>13542</v>
      </c>
      <c r="R54" s="278"/>
      <c r="S54" s="278"/>
      <c r="T54" s="278"/>
      <c r="U54" s="278"/>
    </row>
    <row r="55" spans="1:21" ht="18" customHeight="1" x14ac:dyDescent="0.25">
      <c r="A55" s="277" t="s">
        <v>22</v>
      </c>
      <c r="B55" s="278">
        <v>27749.97</v>
      </c>
      <c r="C55" s="278">
        <v>23549.51</v>
      </c>
      <c r="D55" s="278">
        <v>20142.75</v>
      </c>
      <c r="E55" s="278">
        <v>25846.959999999999</v>
      </c>
      <c r="F55" s="278">
        <v>18638.919999999998</v>
      </c>
      <c r="G55" s="278">
        <v>19059.21</v>
      </c>
      <c r="H55" s="278">
        <v>18898.53</v>
      </c>
      <c r="I55" s="278">
        <v>20996.99</v>
      </c>
      <c r="J55" s="278">
        <v>20332.72</v>
      </c>
      <c r="K55" s="278">
        <v>22962.26</v>
      </c>
      <c r="L55" s="278">
        <v>25171.5</v>
      </c>
      <c r="M55" s="278">
        <v>23323.85</v>
      </c>
      <c r="N55" s="278">
        <v>266673.17</v>
      </c>
      <c r="O55" s="278"/>
      <c r="P55" s="297"/>
      <c r="Q55" s="278">
        <f t="shared" si="2"/>
        <v>266673.17</v>
      </c>
      <c r="R55" s="278"/>
      <c r="S55" s="278"/>
      <c r="T55" s="278"/>
      <c r="U55" s="278"/>
    </row>
    <row r="56" spans="1:21" ht="24" x14ac:dyDescent="0.25">
      <c r="A56" s="277" t="s">
        <v>41</v>
      </c>
      <c r="B56" s="278">
        <v>20296.04</v>
      </c>
      <c r="C56" s="278">
        <v>18168.400000000001</v>
      </c>
      <c r="D56" s="278">
        <v>16150.68</v>
      </c>
      <c r="E56" s="278">
        <v>19855.11</v>
      </c>
      <c r="F56" s="278">
        <v>14579.16</v>
      </c>
      <c r="G56" s="278">
        <v>17312.939999999999</v>
      </c>
      <c r="H56" s="278">
        <v>19160.57</v>
      </c>
      <c r="I56" s="278">
        <v>21234.41</v>
      </c>
      <c r="J56" s="278">
        <v>19805.62</v>
      </c>
      <c r="K56" s="278">
        <v>17680.12</v>
      </c>
      <c r="L56" s="278">
        <v>18913.05</v>
      </c>
      <c r="M56" s="278">
        <v>18812.310000000001</v>
      </c>
      <c r="N56" s="278">
        <v>221968.41</v>
      </c>
      <c r="O56" s="278"/>
      <c r="P56" s="297"/>
      <c r="Q56" s="278">
        <f t="shared" si="2"/>
        <v>221968.41</v>
      </c>
      <c r="R56" s="278"/>
      <c r="S56" s="278"/>
      <c r="T56" s="278"/>
      <c r="U56" s="278"/>
    </row>
    <row r="57" spans="1:21" ht="18" customHeight="1" x14ac:dyDescent="0.25">
      <c r="A57" s="283" t="s">
        <v>192</v>
      </c>
      <c r="B57" s="284">
        <f t="shared" ref="B57:M57" si="31">B52+B47+B43+B38+B32+B34+B35+B36</f>
        <v>1415544.65</v>
      </c>
      <c r="C57" s="284">
        <f t="shared" si="31"/>
        <v>1229977.9000000001</v>
      </c>
      <c r="D57" s="284">
        <f t="shared" si="31"/>
        <v>1246693.8399999999</v>
      </c>
      <c r="E57" s="284">
        <f t="shared" si="31"/>
        <v>1184993.6100000001</v>
      </c>
      <c r="F57" s="284">
        <f t="shared" si="31"/>
        <v>1054294.9800000002</v>
      </c>
      <c r="G57" s="284">
        <f t="shared" si="31"/>
        <v>1048387.3600000001</v>
      </c>
      <c r="H57" s="284">
        <f t="shared" si="31"/>
        <v>1279130.45</v>
      </c>
      <c r="I57" s="284">
        <f t="shared" si="31"/>
        <v>1139566.4900000002</v>
      </c>
      <c r="J57" s="284">
        <f t="shared" si="31"/>
        <v>1187680.1000000001</v>
      </c>
      <c r="K57" s="284">
        <f t="shared" si="31"/>
        <v>1314546.9099999999</v>
      </c>
      <c r="L57" s="284">
        <f t="shared" si="31"/>
        <v>1413592.8900000001</v>
      </c>
      <c r="M57" s="284">
        <f t="shared" si="31"/>
        <v>1471384.38</v>
      </c>
      <c r="N57" s="284">
        <f>N52+N47+N43+N38+N32+N34+N35+N36</f>
        <v>14985793.560000001</v>
      </c>
      <c r="O57" s="284"/>
      <c r="P57" s="314">
        <f>P52+P47+P43+P38+P32+P34+P35+P36</f>
        <v>13799781.500000002</v>
      </c>
      <c r="Q57" s="284">
        <f t="shared" si="2"/>
        <v>1186012.0599999987</v>
      </c>
      <c r="R57" s="284"/>
      <c r="S57" s="284">
        <v>100</v>
      </c>
      <c r="T57" s="284">
        <v>12941629.213602055</v>
      </c>
      <c r="U57" s="284">
        <f>U52+U47+U43+U38+U32+U34+U35+U36</f>
        <v>-858152.28639794595</v>
      </c>
    </row>
    <row r="59" spans="1:21" hidden="1" outlineLevel="1" x14ac:dyDescent="0.25">
      <c r="A59" s="288" t="s">
        <v>318</v>
      </c>
    </row>
    <row r="60" spans="1:21" s="287" customFormat="1" ht="11.25" hidden="1" outlineLevel="1" x14ac:dyDescent="0.2">
      <c r="B60" s="289">
        <f>(B52+B47+B43+B38+B32+B34+B35+B36)-B57</f>
        <v>0</v>
      </c>
      <c r="C60" s="289">
        <f t="shared" ref="C60:M60" si="32">(C52+C47+C43+C38+C32+C34+C35+C36)-C57</f>
        <v>0</v>
      </c>
      <c r="D60" s="289">
        <f t="shared" si="32"/>
        <v>0</v>
      </c>
      <c r="E60" s="289">
        <f t="shared" si="32"/>
        <v>0</v>
      </c>
      <c r="F60" s="289">
        <f t="shared" si="32"/>
        <v>0</v>
      </c>
      <c r="G60" s="289">
        <f t="shared" si="32"/>
        <v>0</v>
      </c>
      <c r="H60" s="289">
        <f t="shared" si="32"/>
        <v>0</v>
      </c>
      <c r="I60" s="289">
        <f t="shared" si="32"/>
        <v>0</v>
      </c>
      <c r="J60" s="289">
        <f t="shared" si="32"/>
        <v>0</v>
      </c>
      <c r="K60" s="289">
        <f t="shared" si="32"/>
        <v>0</v>
      </c>
      <c r="L60" s="289">
        <f t="shared" si="32"/>
        <v>0</v>
      </c>
      <c r="M60" s="289">
        <f t="shared" si="32"/>
        <v>0</v>
      </c>
      <c r="N60" s="289">
        <f>14985793.56-N57</f>
        <v>0</v>
      </c>
      <c r="O60" s="289"/>
      <c r="P60" s="316"/>
      <c r="Q60" s="289"/>
      <c r="R60" s="289"/>
      <c r="S60" s="289"/>
      <c r="T60" s="289"/>
      <c r="U60" s="289"/>
    </row>
    <row r="61" spans="1:21" s="287" customFormat="1" ht="11.25" hidden="1" outlineLevel="1" x14ac:dyDescent="0.2">
      <c r="A61" s="288" t="s">
        <v>303</v>
      </c>
      <c r="B61" s="289">
        <f>[2]свод_2016!D73-B57</f>
        <v>0</v>
      </c>
      <c r="C61" s="289">
        <f>[2]свод_2016!E73-C57</f>
        <v>-1.0000000242143869E-2</v>
      </c>
      <c r="D61" s="289">
        <f>[2]свод_2016!F73-D57</f>
        <v>0</v>
      </c>
      <c r="E61" s="289">
        <f>[2]свод_2016!G73-E57</f>
        <v>0</v>
      </c>
      <c r="F61" s="289">
        <f>[2]свод_2016!H73-F57</f>
        <v>0</v>
      </c>
      <c r="G61" s="289">
        <f>[2]свод_2016!I73-G57</f>
        <v>0</v>
      </c>
      <c r="H61" s="289">
        <f>[2]свод_2016!J73-H57</f>
        <v>0</v>
      </c>
      <c r="I61" s="289">
        <f>[2]свод_2016!K73-I57</f>
        <v>72450.879999999655</v>
      </c>
      <c r="J61" s="289">
        <f>[2]свод_2016!L73-J57</f>
        <v>-20526.65000000014</v>
      </c>
      <c r="K61" s="289">
        <f>[2]свод_2016!M73-K57</f>
        <v>0</v>
      </c>
      <c r="L61" s="289">
        <f>[2]свод_2016!N73-L57</f>
        <v>0</v>
      </c>
      <c r="M61" s="289">
        <f>[2]свод_2016!O73-M57</f>
        <v>0</v>
      </c>
      <c r="N61" s="289">
        <f>[2]свод_2016!P73-N57</f>
        <v>51924.220000000671</v>
      </c>
      <c r="O61" s="289"/>
      <c r="P61" s="316"/>
      <c r="Q61" s="289"/>
      <c r="R61" s="289"/>
      <c r="S61" s="289"/>
      <c r="T61" s="289"/>
      <c r="U61" s="289"/>
    </row>
    <row r="62" spans="1:21" collapsed="1" x14ac:dyDescent="0.25"/>
    <row r="67" spans="5:9" x14ac:dyDescent="0.25">
      <c r="F67" t="s">
        <v>311</v>
      </c>
      <c r="G67" t="s">
        <v>312</v>
      </c>
      <c r="H67" t="s">
        <v>313</v>
      </c>
    </row>
    <row r="68" spans="5:9" x14ac:dyDescent="0.25">
      <c r="E68">
        <v>49</v>
      </c>
      <c r="F68" s="274">
        <v>16122.27</v>
      </c>
      <c r="G68" s="274">
        <v>17895.59</v>
      </c>
      <c r="H68" s="274">
        <v>14788.07</v>
      </c>
      <c r="I68" s="274">
        <f>SUM(F68:H68)</f>
        <v>48805.93</v>
      </c>
    </row>
    <row r="69" spans="5:9" x14ac:dyDescent="0.25">
      <c r="E69" t="s">
        <v>314</v>
      </c>
      <c r="F69" s="274">
        <v>4404.38</v>
      </c>
      <c r="G69" s="274">
        <v>3943.67</v>
      </c>
      <c r="H69" s="274"/>
      <c r="I69" s="274">
        <f>SUM(F69:H69)</f>
        <v>8348.0499999999993</v>
      </c>
    </row>
    <row r="70" spans="5:9" x14ac:dyDescent="0.25">
      <c r="F70" s="286">
        <f>SUM(F68:F69)</f>
        <v>20526.650000000001</v>
      </c>
      <c r="G70" s="286">
        <f t="shared" ref="G70:H70" si="33">SUM(G68:G69)</f>
        <v>21839.260000000002</v>
      </c>
      <c r="H70" s="286">
        <f t="shared" si="33"/>
        <v>14788.07</v>
      </c>
      <c r="I70" s="286">
        <f>SUM(I68:I69)</f>
        <v>57153.979999999996</v>
      </c>
    </row>
  </sheetData>
  <mergeCells count="1">
    <mergeCell ref="A1:B1"/>
  </mergeCells>
  <conditionalFormatting sqref="U4:U57">
    <cfRule type="cellIs" dxfId="8" priority="1" operator="greaterThanOrEqual">
      <formula>0</formula>
    </cfRule>
  </conditionalFormatting>
  <pageMargins left="0.7" right="0.7" top="0.75" bottom="0.75" header="0.3" footer="0.3"/>
  <pageSetup scale="89" fitToHeight="0" orientation="landscape" r:id="rId1"/>
  <ignoredErrors>
    <ignoredError sqref="C11:N11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25" workbookViewId="0">
      <selection activeCell="D53" sqref="D53"/>
    </sheetView>
  </sheetViews>
  <sheetFormatPr defaultRowHeight="15" x14ac:dyDescent="0.25"/>
  <cols>
    <col min="3" max="3" width="34.7109375" bestFit="1" customWidth="1"/>
    <col min="6" max="6" width="10" bestFit="1" customWidth="1"/>
  </cols>
  <sheetData>
    <row r="1" spans="1:7" x14ac:dyDescent="0.25">
      <c r="A1" s="323" t="s">
        <v>325</v>
      </c>
      <c r="B1" s="323"/>
      <c r="C1" s="323"/>
      <c r="D1" s="290"/>
      <c r="E1" s="291"/>
      <c r="F1" s="292">
        <v>3307166.39</v>
      </c>
    </row>
    <row r="2" spans="1:7" x14ac:dyDescent="0.25">
      <c r="A2" s="293"/>
      <c r="B2" s="324" t="s">
        <v>326</v>
      </c>
      <c r="C2" s="324"/>
      <c r="D2" s="294"/>
      <c r="E2" s="295"/>
      <c r="F2" s="296">
        <v>60877.55</v>
      </c>
    </row>
    <row r="3" spans="1:7" x14ac:dyDescent="0.25">
      <c r="A3" s="293"/>
      <c r="C3" s="303" t="s">
        <v>344</v>
      </c>
      <c r="D3" s="304"/>
      <c r="E3" s="305"/>
      <c r="F3" s="306">
        <v>2131.59</v>
      </c>
      <c r="G3" s="307">
        <v>42339</v>
      </c>
    </row>
    <row r="4" spans="1:7" x14ac:dyDescent="0.25">
      <c r="A4" s="293"/>
      <c r="C4" s="302" t="s">
        <v>345</v>
      </c>
      <c r="D4" s="298"/>
      <c r="E4" s="299"/>
      <c r="F4" s="300">
        <v>2377.38</v>
      </c>
    </row>
    <row r="5" spans="1:7" x14ac:dyDescent="0.25">
      <c r="A5" s="293"/>
      <c r="C5" s="302" t="s">
        <v>346</v>
      </c>
      <c r="D5" s="298"/>
      <c r="E5" s="299"/>
      <c r="F5" s="300">
        <v>3172.35</v>
      </c>
    </row>
    <row r="6" spans="1:7" x14ac:dyDescent="0.25">
      <c r="A6" s="293"/>
      <c r="C6" s="302" t="s">
        <v>347</v>
      </c>
      <c r="D6" s="298"/>
      <c r="E6" s="299"/>
      <c r="F6" s="300">
        <v>3576.23</v>
      </c>
    </row>
    <row r="7" spans="1:7" x14ac:dyDescent="0.25">
      <c r="A7" s="293"/>
      <c r="C7" s="302" t="s">
        <v>348</v>
      </c>
      <c r="D7" s="298"/>
      <c r="E7" s="299"/>
      <c r="F7" s="300">
        <v>5659.46</v>
      </c>
    </row>
    <row r="8" spans="1:7" x14ac:dyDescent="0.25">
      <c r="A8" s="293"/>
      <c r="C8" s="302" t="s">
        <v>349</v>
      </c>
      <c r="D8" s="298"/>
      <c r="E8" s="299"/>
      <c r="F8" s="300">
        <v>3349.1</v>
      </c>
    </row>
    <row r="9" spans="1:7" x14ac:dyDescent="0.25">
      <c r="A9" s="293"/>
      <c r="C9" s="302" t="s">
        <v>350</v>
      </c>
      <c r="D9" s="298"/>
      <c r="E9" s="299"/>
      <c r="F9" s="300">
        <v>4241.3999999999996</v>
      </c>
    </row>
    <row r="10" spans="1:7" x14ac:dyDescent="0.25">
      <c r="A10" s="293"/>
      <c r="C10" s="302" t="s">
        <v>351</v>
      </c>
      <c r="D10" s="298"/>
      <c r="E10" s="299"/>
      <c r="F10" s="300">
        <v>3993.66</v>
      </c>
    </row>
    <row r="11" spans="1:7" x14ac:dyDescent="0.25">
      <c r="A11" s="293"/>
      <c r="C11" s="302" t="s">
        <v>352</v>
      </c>
      <c r="D11" s="298"/>
      <c r="E11" s="299"/>
      <c r="F11" s="300">
        <v>4297.87</v>
      </c>
    </row>
    <row r="12" spans="1:7" x14ac:dyDescent="0.25">
      <c r="A12" s="293"/>
      <c r="C12" s="302" t="s">
        <v>353</v>
      </c>
      <c r="D12" s="298"/>
      <c r="E12" s="299"/>
      <c r="F12" s="300">
        <v>4807.2299999999996</v>
      </c>
    </row>
    <row r="13" spans="1:7" x14ac:dyDescent="0.25">
      <c r="A13" s="293"/>
      <c r="C13" s="302" t="s">
        <v>354</v>
      </c>
      <c r="D13" s="298"/>
      <c r="E13" s="299"/>
      <c r="F13" s="300">
        <v>6601.07</v>
      </c>
    </row>
    <row r="14" spans="1:7" x14ac:dyDescent="0.25">
      <c r="A14" s="293"/>
      <c r="C14" s="302" t="s">
        <v>355</v>
      </c>
      <c r="D14" s="298"/>
      <c r="E14" s="299"/>
      <c r="F14" s="300">
        <v>8379.76</v>
      </c>
    </row>
    <row r="15" spans="1:7" ht="15" customHeight="1" x14ac:dyDescent="0.25">
      <c r="A15" s="293"/>
      <c r="C15" s="302" t="s">
        <v>356</v>
      </c>
      <c r="D15" s="298"/>
      <c r="E15" s="299"/>
      <c r="F15" s="300">
        <v>8290.4500000000007</v>
      </c>
    </row>
    <row r="16" spans="1:7" ht="15" customHeight="1" x14ac:dyDescent="0.25">
      <c r="A16" s="293"/>
      <c r="B16" s="325" t="s">
        <v>327</v>
      </c>
      <c r="C16" s="325"/>
      <c r="D16" s="298"/>
      <c r="E16" s="299"/>
      <c r="F16" s="300">
        <v>1754961.22</v>
      </c>
    </row>
    <row r="17" spans="1:7" ht="15" customHeight="1" x14ac:dyDescent="0.25">
      <c r="A17" s="293"/>
      <c r="B17" s="301"/>
      <c r="C17" s="302" t="s">
        <v>357</v>
      </c>
      <c r="D17" s="298"/>
      <c r="E17" s="299"/>
      <c r="F17" s="300">
        <v>351046.92</v>
      </c>
    </row>
    <row r="18" spans="1:7" ht="15" customHeight="1" x14ac:dyDescent="0.25">
      <c r="A18" s="293"/>
      <c r="B18" s="301"/>
      <c r="C18" s="302" t="s">
        <v>358</v>
      </c>
      <c r="D18" s="298"/>
      <c r="E18" s="299"/>
      <c r="F18" s="300">
        <v>207782.29</v>
      </c>
    </row>
    <row r="19" spans="1:7" ht="15" customHeight="1" x14ac:dyDescent="0.25">
      <c r="A19" s="293"/>
      <c r="B19" s="301"/>
      <c r="C19" s="302" t="s">
        <v>359</v>
      </c>
      <c r="D19" s="298"/>
      <c r="E19" s="299"/>
      <c r="F19" s="300">
        <v>184204.64</v>
      </c>
    </row>
    <row r="20" spans="1:7" ht="15" customHeight="1" x14ac:dyDescent="0.25">
      <c r="A20" s="293"/>
      <c r="B20" s="301"/>
      <c r="C20" s="302" t="s">
        <v>360</v>
      </c>
      <c r="D20" s="298"/>
      <c r="E20" s="299"/>
      <c r="F20" s="300">
        <v>119948.73</v>
      </c>
    </row>
    <row r="21" spans="1:7" ht="15" customHeight="1" x14ac:dyDescent="0.25">
      <c r="A21" s="293"/>
      <c r="B21" s="301"/>
      <c r="C21" s="302" t="s">
        <v>361</v>
      </c>
      <c r="D21" s="298"/>
      <c r="E21" s="299"/>
      <c r="F21" s="300">
        <v>32078.97</v>
      </c>
    </row>
    <row r="22" spans="1:7" ht="15" customHeight="1" x14ac:dyDescent="0.25">
      <c r="A22" s="293"/>
      <c r="B22" s="301"/>
      <c r="C22" s="302" t="s">
        <v>362</v>
      </c>
      <c r="D22" s="298"/>
      <c r="E22" s="299"/>
      <c r="F22" s="300">
        <v>14184.34</v>
      </c>
    </row>
    <row r="23" spans="1:7" ht="15" customHeight="1" x14ac:dyDescent="0.25">
      <c r="A23" s="293"/>
      <c r="B23" s="301"/>
      <c r="C23" s="302" t="s">
        <v>363</v>
      </c>
      <c r="D23" s="298"/>
      <c r="E23" s="299"/>
      <c r="F23" s="300">
        <v>24250.31</v>
      </c>
    </row>
    <row r="24" spans="1:7" ht="15" customHeight="1" x14ac:dyDescent="0.25">
      <c r="A24" s="293"/>
      <c r="B24" s="301"/>
      <c r="C24" s="302" t="s">
        <v>364</v>
      </c>
      <c r="D24" s="298"/>
      <c r="E24" s="299"/>
      <c r="F24" s="300">
        <v>15165.19</v>
      </c>
    </row>
    <row r="25" spans="1:7" ht="15" customHeight="1" x14ac:dyDescent="0.25">
      <c r="A25" s="293"/>
      <c r="B25" s="301"/>
      <c r="C25" s="302" t="s">
        <v>365</v>
      </c>
      <c r="D25" s="298"/>
      <c r="E25" s="299"/>
      <c r="F25" s="300">
        <v>63127.26</v>
      </c>
    </row>
    <row r="26" spans="1:7" ht="15" customHeight="1" x14ac:dyDescent="0.25">
      <c r="A26" s="293"/>
      <c r="B26" s="301"/>
      <c r="C26" s="302" t="s">
        <v>366</v>
      </c>
      <c r="D26" s="298"/>
      <c r="E26" s="299"/>
      <c r="F26" s="300">
        <v>173524.71</v>
      </c>
    </row>
    <row r="27" spans="1:7" ht="15" customHeight="1" x14ac:dyDescent="0.25">
      <c r="A27" s="293"/>
      <c r="B27" s="301"/>
      <c r="C27" s="302" t="s">
        <v>367</v>
      </c>
      <c r="D27" s="298"/>
      <c r="E27" s="299"/>
      <c r="F27" s="300">
        <v>253209.01</v>
      </c>
    </row>
    <row r="28" spans="1:7" ht="15" customHeight="1" x14ac:dyDescent="0.25">
      <c r="A28" s="293"/>
      <c r="B28" s="301"/>
      <c r="C28" s="302" t="s">
        <v>368</v>
      </c>
      <c r="D28" s="298"/>
      <c r="E28" s="299"/>
      <c r="F28" s="300">
        <v>316438.84999999998</v>
      </c>
    </row>
    <row r="29" spans="1:7" x14ac:dyDescent="0.25">
      <c r="A29" s="293"/>
      <c r="B29" s="326" t="s">
        <v>328</v>
      </c>
      <c r="C29" s="327"/>
      <c r="D29" s="294"/>
      <c r="E29" s="295"/>
      <c r="F29" s="296">
        <v>12816.9</v>
      </c>
    </row>
    <row r="30" spans="1:7" x14ac:dyDescent="0.25">
      <c r="A30" s="293"/>
      <c r="B30" s="326" t="s">
        <v>329</v>
      </c>
      <c r="C30" s="327"/>
      <c r="D30" s="294"/>
      <c r="E30" s="295"/>
      <c r="F30" s="296">
        <v>9558.7999999999993</v>
      </c>
    </row>
    <row r="31" spans="1:7" x14ac:dyDescent="0.25">
      <c r="A31" s="293"/>
      <c r="B31" s="326" t="s">
        <v>315</v>
      </c>
      <c r="C31" s="327"/>
      <c r="D31" s="294"/>
      <c r="E31" s="295"/>
      <c r="F31" s="296">
        <v>60363.31</v>
      </c>
    </row>
    <row r="32" spans="1:7" x14ac:dyDescent="0.25">
      <c r="A32" s="293"/>
      <c r="B32" s="301"/>
      <c r="C32" s="303" t="s">
        <v>331</v>
      </c>
      <c r="D32" s="304"/>
      <c r="E32" s="305"/>
      <c r="F32" s="306">
        <v>2086.88</v>
      </c>
      <c r="G32" s="307">
        <v>42339</v>
      </c>
    </row>
    <row r="33" spans="1:6" x14ac:dyDescent="0.25">
      <c r="A33" s="293"/>
      <c r="B33" s="301"/>
      <c r="C33" s="302" t="s">
        <v>332</v>
      </c>
      <c r="D33" s="298"/>
      <c r="E33" s="299"/>
      <c r="F33" s="300">
        <v>2282.9899999999998</v>
      </c>
    </row>
    <row r="34" spans="1:6" x14ac:dyDescent="0.25">
      <c r="A34" s="293"/>
      <c r="B34" s="301"/>
      <c r="C34" s="302" t="s">
        <v>333</v>
      </c>
      <c r="D34" s="298"/>
      <c r="E34" s="299"/>
      <c r="F34" s="300">
        <v>3127.64</v>
      </c>
    </row>
    <row r="35" spans="1:6" x14ac:dyDescent="0.25">
      <c r="A35" s="293"/>
      <c r="B35" s="301"/>
      <c r="C35" s="302" t="s">
        <v>334</v>
      </c>
      <c r="D35" s="298"/>
      <c r="E35" s="299"/>
      <c r="F35" s="300">
        <v>3526.55</v>
      </c>
    </row>
    <row r="36" spans="1:6" x14ac:dyDescent="0.25">
      <c r="A36" s="293"/>
      <c r="B36" s="301"/>
      <c r="C36" s="302" t="s">
        <v>335</v>
      </c>
      <c r="D36" s="298"/>
      <c r="E36" s="299"/>
      <c r="F36" s="300">
        <v>5619.72</v>
      </c>
    </row>
    <row r="37" spans="1:6" x14ac:dyDescent="0.25">
      <c r="A37" s="293"/>
      <c r="B37" s="301"/>
      <c r="C37" s="302" t="s">
        <v>336</v>
      </c>
      <c r="D37" s="298"/>
      <c r="E37" s="299"/>
      <c r="F37" s="300">
        <v>3334.2</v>
      </c>
    </row>
    <row r="38" spans="1:6" x14ac:dyDescent="0.25">
      <c r="A38" s="293"/>
      <c r="B38" s="301"/>
      <c r="C38" s="302" t="s">
        <v>337</v>
      </c>
      <c r="D38" s="298"/>
      <c r="E38" s="299"/>
      <c r="F38" s="300">
        <v>4226.5</v>
      </c>
    </row>
    <row r="39" spans="1:6" x14ac:dyDescent="0.25">
      <c r="A39" s="293"/>
      <c r="B39" s="301"/>
      <c r="C39" s="302" t="s">
        <v>338</v>
      </c>
      <c r="D39" s="298"/>
      <c r="E39" s="299"/>
      <c r="F39" s="300">
        <v>3982.54</v>
      </c>
    </row>
    <row r="40" spans="1:6" x14ac:dyDescent="0.25">
      <c r="A40" s="293"/>
      <c r="B40" s="301"/>
      <c r="C40" s="302" t="s">
        <v>339</v>
      </c>
      <c r="D40" s="298"/>
      <c r="E40" s="299"/>
      <c r="F40" s="300">
        <v>4264.5200000000004</v>
      </c>
    </row>
    <row r="41" spans="1:6" x14ac:dyDescent="0.25">
      <c r="A41" s="293"/>
      <c r="B41" s="301"/>
      <c r="C41" s="302" t="s">
        <v>340</v>
      </c>
      <c r="D41" s="298"/>
      <c r="E41" s="299"/>
      <c r="F41" s="300">
        <v>4785</v>
      </c>
    </row>
    <row r="42" spans="1:6" x14ac:dyDescent="0.25">
      <c r="A42" s="293"/>
      <c r="B42" s="301"/>
      <c r="C42" s="302" t="s">
        <v>341</v>
      </c>
      <c r="D42" s="298"/>
      <c r="E42" s="299"/>
      <c r="F42" s="300">
        <v>6584.4</v>
      </c>
    </row>
    <row r="43" spans="1:6" x14ac:dyDescent="0.25">
      <c r="A43" s="293"/>
      <c r="B43" s="301"/>
      <c r="C43" s="302" t="s">
        <v>342</v>
      </c>
      <c r="D43" s="298"/>
      <c r="E43" s="299"/>
      <c r="F43" s="300">
        <v>8318.6200000000008</v>
      </c>
    </row>
    <row r="44" spans="1:6" x14ac:dyDescent="0.25">
      <c r="A44" s="293"/>
      <c r="B44" s="301"/>
      <c r="C44" s="302" t="s">
        <v>343</v>
      </c>
      <c r="D44" s="298"/>
      <c r="E44" s="299"/>
      <c r="F44" s="300">
        <v>8223.75</v>
      </c>
    </row>
    <row r="45" spans="1:6" x14ac:dyDescent="0.25">
      <c r="A45" s="293"/>
      <c r="B45" s="324" t="s">
        <v>330</v>
      </c>
      <c r="C45" s="324"/>
      <c r="D45" s="294"/>
      <c r="E45" s="295"/>
      <c r="F45" s="296">
        <v>1408588.61</v>
      </c>
    </row>
  </sheetData>
  <mergeCells count="7">
    <mergeCell ref="A1:C1"/>
    <mergeCell ref="B2:C2"/>
    <mergeCell ref="B16:C16"/>
    <mergeCell ref="B45:C45"/>
    <mergeCell ref="B31:C31"/>
    <mergeCell ref="B30:C30"/>
    <mergeCell ref="B29:C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CC"/>
    <outlinePr summaryBelow="0"/>
    <pageSetUpPr fitToPage="1"/>
  </sheetPr>
  <dimension ref="A1:AN304"/>
  <sheetViews>
    <sheetView zoomScale="70" zoomScaleNormal="70" zoomScaleSheetLayoutView="70" workbookViewId="0">
      <pane xSplit="2" ySplit="21" topLeftCell="C47" activePane="bottomRight" state="frozen"/>
      <selection pane="topRight" activeCell="C1" sqref="C1"/>
      <selection pane="bottomLeft" activeCell="A22" sqref="A22"/>
      <selection pane="bottomRight" activeCell="I1" sqref="I1:I1048576"/>
    </sheetView>
  </sheetViews>
  <sheetFormatPr defaultRowHeight="15" outlineLevelRow="3" outlineLevelCol="2" x14ac:dyDescent="0.25"/>
  <cols>
    <col min="1" max="1" width="7.28515625" style="60" customWidth="1"/>
    <col min="2" max="2" width="70.7109375" style="61" customWidth="1"/>
    <col min="3" max="3" width="33.85546875" style="60" customWidth="1" outlineLevel="2"/>
    <col min="4" max="4" width="42.7109375" style="60" customWidth="1" outlineLevel="2"/>
    <col min="5" max="5" width="17.140625" style="62" customWidth="1" outlineLevel="2"/>
    <col min="6" max="6" width="22.5703125" style="273" customWidth="1" outlineLevel="1"/>
    <col min="7" max="7" width="17.140625" style="273" customWidth="1" outlineLevel="2"/>
    <col min="8" max="8" width="22.7109375" style="273" customWidth="1"/>
    <col min="9" max="9" width="16.140625" style="273" customWidth="1"/>
    <col min="10" max="10" width="18.28515625" style="273" customWidth="1"/>
    <col min="11" max="11" width="16" style="64" customWidth="1"/>
    <col min="12" max="12" width="16.42578125" style="65" customWidth="1" outlineLevel="1"/>
    <col min="13" max="13" width="18.5703125" style="65" customWidth="1" outlineLevel="1"/>
    <col min="14" max="14" width="18.5703125" style="66" customWidth="1" outlineLevel="1"/>
    <col min="15" max="17" width="18.5703125" style="65" customWidth="1" outlineLevel="1"/>
    <col min="18" max="18" width="56.140625" style="61" customWidth="1"/>
    <col min="19" max="19" width="8.140625" style="63" customWidth="1"/>
    <col min="20" max="20" width="18.28515625" style="63" bestFit="1" customWidth="1"/>
    <col min="21" max="21" width="29.28515625" style="61" customWidth="1" outlineLevel="1"/>
    <col min="22" max="22" width="22.5703125" style="61" customWidth="1" outlineLevel="1"/>
    <col min="23" max="23" width="20.5703125" style="61" customWidth="1" outlineLevel="1"/>
    <col min="24" max="24" width="11.7109375" style="63" bestFit="1" customWidth="1"/>
    <col min="25" max="34" width="9.140625" style="63"/>
    <col min="35" max="237" width="9.140625" style="61"/>
    <col min="238" max="238" width="5.5703125" style="61" customWidth="1"/>
    <col min="239" max="239" width="40.42578125" style="61" customWidth="1"/>
    <col min="240" max="240" width="12.85546875" style="61" customWidth="1"/>
    <col min="241" max="241" width="11.85546875" style="61" customWidth="1"/>
    <col min="242" max="242" width="19.7109375" style="61" customWidth="1"/>
    <col min="243" max="243" width="20.85546875" style="61" customWidth="1"/>
    <col min="244" max="246" width="11.42578125" style="61" customWidth="1"/>
    <col min="247" max="247" width="33.42578125" style="61" customWidth="1"/>
    <col min="248" max="248" width="16.5703125" style="61" customWidth="1"/>
    <col min="249" max="250" width="38" style="61" customWidth="1"/>
    <col min="251" max="255" width="9.140625" style="61" customWidth="1"/>
    <col min="256" max="256" width="10" style="61" bestFit="1" customWidth="1"/>
    <col min="257" max="257" width="9.140625" style="61"/>
    <col min="258" max="258" width="17.85546875" style="61" customWidth="1"/>
    <col min="259" max="259" width="8.5703125" style="61" customWidth="1"/>
    <col min="260" max="260" width="11.28515625" style="61" customWidth="1"/>
    <col min="261" max="261" width="8.5703125" style="61" customWidth="1"/>
    <col min="262" max="262" width="12.5703125" style="61" customWidth="1"/>
    <col min="263" max="263" width="8.5703125" style="61" customWidth="1"/>
    <col min="264" max="264" width="12.5703125" style="61" customWidth="1"/>
    <col min="265" max="265" width="16" style="61" customWidth="1"/>
    <col min="266" max="493" width="9.140625" style="61"/>
    <col min="494" max="494" width="5.5703125" style="61" customWidth="1"/>
    <col min="495" max="495" width="40.42578125" style="61" customWidth="1"/>
    <col min="496" max="496" width="12.85546875" style="61" customWidth="1"/>
    <col min="497" max="497" width="11.85546875" style="61" customWidth="1"/>
    <col min="498" max="498" width="19.7109375" style="61" customWidth="1"/>
    <col min="499" max="499" width="20.85546875" style="61" customWidth="1"/>
    <col min="500" max="502" width="11.42578125" style="61" customWidth="1"/>
    <col min="503" max="503" width="33.42578125" style="61" customWidth="1"/>
    <col min="504" max="504" width="16.5703125" style="61" customWidth="1"/>
    <col min="505" max="506" width="38" style="61" customWidth="1"/>
    <col min="507" max="511" width="9.140625" style="61" customWidth="1"/>
    <col min="512" max="512" width="10" style="61" bestFit="1" customWidth="1"/>
    <col min="513" max="513" width="9.140625" style="61"/>
    <col min="514" max="514" width="17.85546875" style="61" customWidth="1"/>
    <col min="515" max="515" width="8.5703125" style="61" customWidth="1"/>
    <col min="516" max="516" width="11.28515625" style="61" customWidth="1"/>
    <col min="517" max="517" width="8.5703125" style="61" customWidth="1"/>
    <col min="518" max="518" width="12.5703125" style="61" customWidth="1"/>
    <col min="519" max="519" width="8.5703125" style="61" customWidth="1"/>
    <col min="520" max="520" width="12.5703125" style="61" customWidth="1"/>
    <col min="521" max="521" width="16" style="61" customWidth="1"/>
    <col min="522" max="749" width="9.140625" style="61"/>
    <col min="750" max="750" width="5.5703125" style="61" customWidth="1"/>
    <col min="751" max="751" width="40.42578125" style="61" customWidth="1"/>
    <col min="752" max="752" width="12.85546875" style="61" customWidth="1"/>
    <col min="753" max="753" width="11.85546875" style="61" customWidth="1"/>
    <col min="754" max="754" width="19.7109375" style="61" customWidth="1"/>
    <col min="755" max="755" width="20.85546875" style="61" customWidth="1"/>
    <col min="756" max="758" width="11.42578125" style="61" customWidth="1"/>
    <col min="759" max="759" width="33.42578125" style="61" customWidth="1"/>
    <col min="760" max="760" width="16.5703125" style="61" customWidth="1"/>
    <col min="761" max="762" width="38" style="61" customWidth="1"/>
    <col min="763" max="767" width="9.140625" style="61" customWidth="1"/>
    <col min="768" max="768" width="10" style="61" bestFit="1" customWidth="1"/>
    <col min="769" max="769" width="9.140625" style="61"/>
    <col min="770" max="770" width="17.85546875" style="61" customWidth="1"/>
    <col min="771" max="771" width="8.5703125" style="61" customWidth="1"/>
    <col min="772" max="772" width="11.28515625" style="61" customWidth="1"/>
    <col min="773" max="773" width="8.5703125" style="61" customWidth="1"/>
    <col min="774" max="774" width="12.5703125" style="61" customWidth="1"/>
    <col min="775" max="775" width="8.5703125" style="61" customWidth="1"/>
    <col min="776" max="776" width="12.5703125" style="61" customWidth="1"/>
    <col min="777" max="777" width="16" style="61" customWidth="1"/>
    <col min="778" max="1005" width="9.140625" style="61"/>
    <col min="1006" max="1006" width="5.5703125" style="61" customWidth="1"/>
    <col min="1007" max="1007" width="40.42578125" style="61" customWidth="1"/>
    <col min="1008" max="1008" width="12.85546875" style="61" customWidth="1"/>
    <col min="1009" max="1009" width="11.85546875" style="61" customWidth="1"/>
    <col min="1010" max="1010" width="19.7109375" style="61" customWidth="1"/>
    <col min="1011" max="1011" width="20.85546875" style="61" customWidth="1"/>
    <col min="1012" max="1014" width="11.42578125" style="61" customWidth="1"/>
    <col min="1015" max="1015" width="33.42578125" style="61" customWidth="1"/>
    <col min="1016" max="1016" width="16.5703125" style="61" customWidth="1"/>
    <col min="1017" max="1018" width="38" style="61" customWidth="1"/>
    <col min="1019" max="1023" width="9.140625" style="61" customWidth="1"/>
    <col min="1024" max="1024" width="10" style="61" bestFit="1" customWidth="1"/>
    <col min="1025" max="1025" width="9.140625" style="61"/>
    <col min="1026" max="1026" width="17.85546875" style="61" customWidth="1"/>
    <col min="1027" max="1027" width="8.5703125" style="61" customWidth="1"/>
    <col min="1028" max="1028" width="11.28515625" style="61" customWidth="1"/>
    <col min="1029" max="1029" width="8.5703125" style="61" customWidth="1"/>
    <col min="1030" max="1030" width="12.5703125" style="61" customWidth="1"/>
    <col min="1031" max="1031" width="8.5703125" style="61" customWidth="1"/>
    <col min="1032" max="1032" width="12.5703125" style="61" customWidth="1"/>
    <col min="1033" max="1033" width="16" style="61" customWidth="1"/>
    <col min="1034" max="1261" width="9.140625" style="61"/>
    <col min="1262" max="1262" width="5.5703125" style="61" customWidth="1"/>
    <col min="1263" max="1263" width="40.42578125" style="61" customWidth="1"/>
    <col min="1264" max="1264" width="12.85546875" style="61" customWidth="1"/>
    <col min="1265" max="1265" width="11.85546875" style="61" customWidth="1"/>
    <col min="1266" max="1266" width="19.7109375" style="61" customWidth="1"/>
    <col min="1267" max="1267" width="20.85546875" style="61" customWidth="1"/>
    <col min="1268" max="1270" width="11.42578125" style="61" customWidth="1"/>
    <col min="1271" max="1271" width="33.42578125" style="61" customWidth="1"/>
    <col min="1272" max="1272" width="16.5703125" style="61" customWidth="1"/>
    <col min="1273" max="1274" width="38" style="61" customWidth="1"/>
    <col min="1275" max="1279" width="9.140625" style="61" customWidth="1"/>
    <col min="1280" max="1280" width="10" style="61" bestFit="1" customWidth="1"/>
    <col min="1281" max="1281" width="9.140625" style="61"/>
    <col min="1282" max="1282" width="17.85546875" style="61" customWidth="1"/>
    <col min="1283" max="1283" width="8.5703125" style="61" customWidth="1"/>
    <col min="1284" max="1284" width="11.28515625" style="61" customWidth="1"/>
    <col min="1285" max="1285" width="8.5703125" style="61" customWidth="1"/>
    <col min="1286" max="1286" width="12.5703125" style="61" customWidth="1"/>
    <col min="1287" max="1287" width="8.5703125" style="61" customWidth="1"/>
    <col min="1288" max="1288" width="12.5703125" style="61" customWidth="1"/>
    <col min="1289" max="1289" width="16" style="61" customWidth="1"/>
    <col min="1290" max="1517" width="9.140625" style="61"/>
    <col min="1518" max="1518" width="5.5703125" style="61" customWidth="1"/>
    <col min="1519" max="1519" width="40.42578125" style="61" customWidth="1"/>
    <col min="1520" max="1520" width="12.85546875" style="61" customWidth="1"/>
    <col min="1521" max="1521" width="11.85546875" style="61" customWidth="1"/>
    <col min="1522" max="1522" width="19.7109375" style="61" customWidth="1"/>
    <col min="1523" max="1523" width="20.85546875" style="61" customWidth="1"/>
    <col min="1524" max="1526" width="11.42578125" style="61" customWidth="1"/>
    <col min="1527" max="1527" width="33.42578125" style="61" customWidth="1"/>
    <col min="1528" max="1528" width="16.5703125" style="61" customWidth="1"/>
    <col min="1529" max="1530" width="38" style="61" customWidth="1"/>
    <col min="1531" max="1535" width="9.140625" style="61" customWidth="1"/>
    <col min="1536" max="1536" width="10" style="61" bestFit="1" customWidth="1"/>
    <col min="1537" max="1537" width="9.140625" style="61"/>
    <col min="1538" max="1538" width="17.85546875" style="61" customWidth="1"/>
    <col min="1539" max="1539" width="8.5703125" style="61" customWidth="1"/>
    <col min="1540" max="1540" width="11.28515625" style="61" customWidth="1"/>
    <col min="1541" max="1541" width="8.5703125" style="61" customWidth="1"/>
    <col min="1542" max="1542" width="12.5703125" style="61" customWidth="1"/>
    <col min="1543" max="1543" width="8.5703125" style="61" customWidth="1"/>
    <col min="1544" max="1544" width="12.5703125" style="61" customWidth="1"/>
    <col min="1545" max="1545" width="16" style="61" customWidth="1"/>
    <col min="1546" max="1773" width="9.140625" style="61"/>
    <col min="1774" max="1774" width="5.5703125" style="61" customWidth="1"/>
    <col min="1775" max="1775" width="40.42578125" style="61" customWidth="1"/>
    <col min="1776" max="1776" width="12.85546875" style="61" customWidth="1"/>
    <col min="1777" max="1777" width="11.85546875" style="61" customWidth="1"/>
    <col min="1778" max="1778" width="19.7109375" style="61" customWidth="1"/>
    <col min="1779" max="1779" width="20.85546875" style="61" customWidth="1"/>
    <col min="1780" max="1782" width="11.42578125" style="61" customWidth="1"/>
    <col min="1783" max="1783" width="33.42578125" style="61" customWidth="1"/>
    <col min="1784" max="1784" width="16.5703125" style="61" customWidth="1"/>
    <col min="1785" max="1786" width="38" style="61" customWidth="1"/>
    <col min="1787" max="1791" width="9.140625" style="61" customWidth="1"/>
    <col min="1792" max="1792" width="10" style="61" bestFit="1" customWidth="1"/>
    <col min="1793" max="1793" width="9.140625" style="61"/>
    <col min="1794" max="1794" width="17.85546875" style="61" customWidth="1"/>
    <col min="1795" max="1795" width="8.5703125" style="61" customWidth="1"/>
    <col min="1796" max="1796" width="11.28515625" style="61" customWidth="1"/>
    <col min="1797" max="1797" width="8.5703125" style="61" customWidth="1"/>
    <col min="1798" max="1798" width="12.5703125" style="61" customWidth="1"/>
    <col min="1799" max="1799" width="8.5703125" style="61" customWidth="1"/>
    <col min="1800" max="1800" width="12.5703125" style="61" customWidth="1"/>
    <col min="1801" max="1801" width="16" style="61" customWidth="1"/>
    <col min="1802" max="2029" width="9.140625" style="61"/>
    <col min="2030" max="2030" width="5.5703125" style="61" customWidth="1"/>
    <col min="2031" max="2031" width="40.42578125" style="61" customWidth="1"/>
    <col min="2032" max="2032" width="12.85546875" style="61" customWidth="1"/>
    <col min="2033" max="2033" width="11.85546875" style="61" customWidth="1"/>
    <col min="2034" max="2034" width="19.7109375" style="61" customWidth="1"/>
    <col min="2035" max="2035" width="20.85546875" style="61" customWidth="1"/>
    <col min="2036" max="2038" width="11.42578125" style="61" customWidth="1"/>
    <col min="2039" max="2039" width="33.42578125" style="61" customWidth="1"/>
    <col min="2040" max="2040" width="16.5703125" style="61" customWidth="1"/>
    <col min="2041" max="2042" width="38" style="61" customWidth="1"/>
    <col min="2043" max="2047" width="9.140625" style="61" customWidth="1"/>
    <col min="2048" max="2048" width="10" style="61" bestFit="1" customWidth="1"/>
    <col min="2049" max="2049" width="9.140625" style="61"/>
    <col min="2050" max="2050" width="17.85546875" style="61" customWidth="1"/>
    <col min="2051" max="2051" width="8.5703125" style="61" customWidth="1"/>
    <col min="2052" max="2052" width="11.28515625" style="61" customWidth="1"/>
    <col min="2053" max="2053" width="8.5703125" style="61" customWidth="1"/>
    <col min="2054" max="2054" width="12.5703125" style="61" customWidth="1"/>
    <col min="2055" max="2055" width="8.5703125" style="61" customWidth="1"/>
    <col min="2056" max="2056" width="12.5703125" style="61" customWidth="1"/>
    <col min="2057" max="2057" width="16" style="61" customWidth="1"/>
    <col min="2058" max="2285" width="9.140625" style="61"/>
    <col min="2286" max="2286" width="5.5703125" style="61" customWidth="1"/>
    <col min="2287" max="2287" width="40.42578125" style="61" customWidth="1"/>
    <col min="2288" max="2288" width="12.85546875" style="61" customWidth="1"/>
    <col min="2289" max="2289" width="11.85546875" style="61" customWidth="1"/>
    <col min="2290" max="2290" width="19.7109375" style="61" customWidth="1"/>
    <col min="2291" max="2291" width="20.85546875" style="61" customWidth="1"/>
    <col min="2292" max="2294" width="11.42578125" style="61" customWidth="1"/>
    <col min="2295" max="2295" width="33.42578125" style="61" customWidth="1"/>
    <col min="2296" max="2296" width="16.5703125" style="61" customWidth="1"/>
    <col min="2297" max="2298" width="38" style="61" customWidth="1"/>
    <col min="2299" max="2303" width="9.140625" style="61" customWidth="1"/>
    <col min="2304" max="2304" width="10" style="61" bestFit="1" customWidth="1"/>
    <col min="2305" max="2305" width="9.140625" style="61"/>
    <col min="2306" max="2306" width="17.85546875" style="61" customWidth="1"/>
    <col min="2307" max="2307" width="8.5703125" style="61" customWidth="1"/>
    <col min="2308" max="2308" width="11.28515625" style="61" customWidth="1"/>
    <col min="2309" max="2309" width="8.5703125" style="61" customWidth="1"/>
    <col min="2310" max="2310" width="12.5703125" style="61" customWidth="1"/>
    <col min="2311" max="2311" width="8.5703125" style="61" customWidth="1"/>
    <col min="2312" max="2312" width="12.5703125" style="61" customWidth="1"/>
    <col min="2313" max="2313" width="16" style="61" customWidth="1"/>
    <col min="2314" max="2541" width="9.140625" style="61"/>
    <col min="2542" max="2542" width="5.5703125" style="61" customWidth="1"/>
    <col min="2543" max="2543" width="40.42578125" style="61" customWidth="1"/>
    <col min="2544" max="2544" width="12.85546875" style="61" customWidth="1"/>
    <col min="2545" max="2545" width="11.85546875" style="61" customWidth="1"/>
    <col min="2546" max="2546" width="19.7109375" style="61" customWidth="1"/>
    <col min="2547" max="2547" width="20.85546875" style="61" customWidth="1"/>
    <col min="2548" max="2550" width="11.42578125" style="61" customWidth="1"/>
    <col min="2551" max="2551" width="33.42578125" style="61" customWidth="1"/>
    <col min="2552" max="2552" width="16.5703125" style="61" customWidth="1"/>
    <col min="2553" max="2554" width="38" style="61" customWidth="1"/>
    <col min="2555" max="2559" width="9.140625" style="61" customWidth="1"/>
    <col min="2560" max="2560" width="10" style="61" bestFit="1" customWidth="1"/>
    <col min="2561" max="2561" width="9.140625" style="61"/>
    <col min="2562" max="2562" width="17.85546875" style="61" customWidth="1"/>
    <col min="2563" max="2563" width="8.5703125" style="61" customWidth="1"/>
    <col min="2564" max="2564" width="11.28515625" style="61" customWidth="1"/>
    <col min="2565" max="2565" width="8.5703125" style="61" customWidth="1"/>
    <col min="2566" max="2566" width="12.5703125" style="61" customWidth="1"/>
    <col min="2567" max="2567" width="8.5703125" style="61" customWidth="1"/>
    <col min="2568" max="2568" width="12.5703125" style="61" customWidth="1"/>
    <col min="2569" max="2569" width="16" style="61" customWidth="1"/>
    <col min="2570" max="2797" width="9.140625" style="61"/>
    <col min="2798" max="2798" width="5.5703125" style="61" customWidth="1"/>
    <col min="2799" max="2799" width="40.42578125" style="61" customWidth="1"/>
    <col min="2800" max="2800" width="12.85546875" style="61" customWidth="1"/>
    <col min="2801" max="2801" width="11.85546875" style="61" customWidth="1"/>
    <col min="2802" max="2802" width="19.7109375" style="61" customWidth="1"/>
    <col min="2803" max="2803" width="20.85546875" style="61" customWidth="1"/>
    <col min="2804" max="2806" width="11.42578125" style="61" customWidth="1"/>
    <col min="2807" max="2807" width="33.42578125" style="61" customWidth="1"/>
    <col min="2808" max="2808" width="16.5703125" style="61" customWidth="1"/>
    <col min="2809" max="2810" width="38" style="61" customWidth="1"/>
    <col min="2811" max="2815" width="9.140625" style="61" customWidth="1"/>
    <col min="2816" max="2816" width="10" style="61" bestFit="1" customWidth="1"/>
    <col min="2817" max="2817" width="9.140625" style="61"/>
    <col min="2818" max="2818" width="17.85546875" style="61" customWidth="1"/>
    <col min="2819" max="2819" width="8.5703125" style="61" customWidth="1"/>
    <col min="2820" max="2820" width="11.28515625" style="61" customWidth="1"/>
    <col min="2821" max="2821" width="8.5703125" style="61" customWidth="1"/>
    <col min="2822" max="2822" width="12.5703125" style="61" customWidth="1"/>
    <col min="2823" max="2823" width="8.5703125" style="61" customWidth="1"/>
    <col min="2824" max="2824" width="12.5703125" style="61" customWidth="1"/>
    <col min="2825" max="2825" width="16" style="61" customWidth="1"/>
    <col min="2826" max="3053" width="9.140625" style="61"/>
    <col min="3054" max="3054" width="5.5703125" style="61" customWidth="1"/>
    <col min="3055" max="3055" width="40.42578125" style="61" customWidth="1"/>
    <col min="3056" max="3056" width="12.85546875" style="61" customWidth="1"/>
    <col min="3057" max="3057" width="11.85546875" style="61" customWidth="1"/>
    <col min="3058" max="3058" width="19.7109375" style="61" customWidth="1"/>
    <col min="3059" max="3059" width="20.85546875" style="61" customWidth="1"/>
    <col min="3060" max="3062" width="11.42578125" style="61" customWidth="1"/>
    <col min="3063" max="3063" width="33.42578125" style="61" customWidth="1"/>
    <col min="3064" max="3064" width="16.5703125" style="61" customWidth="1"/>
    <col min="3065" max="3066" width="38" style="61" customWidth="1"/>
    <col min="3067" max="3071" width="9.140625" style="61" customWidth="1"/>
    <col min="3072" max="3072" width="10" style="61" bestFit="1" customWidth="1"/>
    <col min="3073" max="3073" width="9.140625" style="61"/>
    <col min="3074" max="3074" width="17.85546875" style="61" customWidth="1"/>
    <col min="3075" max="3075" width="8.5703125" style="61" customWidth="1"/>
    <col min="3076" max="3076" width="11.28515625" style="61" customWidth="1"/>
    <col min="3077" max="3077" width="8.5703125" style="61" customWidth="1"/>
    <col min="3078" max="3078" width="12.5703125" style="61" customWidth="1"/>
    <col min="3079" max="3079" width="8.5703125" style="61" customWidth="1"/>
    <col min="3080" max="3080" width="12.5703125" style="61" customWidth="1"/>
    <col min="3081" max="3081" width="16" style="61" customWidth="1"/>
    <col min="3082" max="3309" width="9.140625" style="61"/>
    <col min="3310" max="3310" width="5.5703125" style="61" customWidth="1"/>
    <col min="3311" max="3311" width="40.42578125" style="61" customWidth="1"/>
    <col min="3312" max="3312" width="12.85546875" style="61" customWidth="1"/>
    <col min="3313" max="3313" width="11.85546875" style="61" customWidth="1"/>
    <col min="3314" max="3314" width="19.7109375" style="61" customWidth="1"/>
    <col min="3315" max="3315" width="20.85546875" style="61" customWidth="1"/>
    <col min="3316" max="3318" width="11.42578125" style="61" customWidth="1"/>
    <col min="3319" max="3319" width="33.42578125" style="61" customWidth="1"/>
    <col min="3320" max="3320" width="16.5703125" style="61" customWidth="1"/>
    <col min="3321" max="3322" width="38" style="61" customWidth="1"/>
    <col min="3323" max="3327" width="9.140625" style="61" customWidth="1"/>
    <col min="3328" max="3328" width="10" style="61" bestFit="1" customWidth="1"/>
    <col min="3329" max="3329" width="9.140625" style="61"/>
    <col min="3330" max="3330" width="17.85546875" style="61" customWidth="1"/>
    <col min="3331" max="3331" width="8.5703125" style="61" customWidth="1"/>
    <col min="3332" max="3332" width="11.28515625" style="61" customWidth="1"/>
    <col min="3333" max="3333" width="8.5703125" style="61" customWidth="1"/>
    <col min="3334" max="3334" width="12.5703125" style="61" customWidth="1"/>
    <col min="3335" max="3335" width="8.5703125" style="61" customWidth="1"/>
    <col min="3336" max="3336" width="12.5703125" style="61" customWidth="1"/>
    <col min="3337" max="3337" width="16" style="61" customWidth="1"/>
    <col min="3338" max="3565" width="9.140625" style="61"/>
    <col min="3566" max="3566" width="5.5703125" style="61" customWidth="1"/>
    <col min="3567" max="3567" width="40.42578125" style="61" customWidth="1"/>
    <col min="3568" max="3568" width="12.85546875" style="61" customWidth="1"/>
    <col min="3569" max="3569" width="11.85546875" style="61" customWidth="1"/>
    <col min="3570" max="3570" width="19.7109375" style="61" customWidth="1"/>
    <col min="3571" max="3571" width="20.85546875" style="61" customWidth="1"/>
    <col min="3572" max="3574" width="11.42578125" style="61" customWidth="1"/>
    <col min="3575" max="3575" width="33.42578125" style="61" customWidth="1"/>
    <col min="3576" max="3576" width="16.5703125" style="61" customWidth="1"/>
    <col min="3577" max="3578" width="38" style="61" customWidth="1"/>
    <col min="3579" max="3583" width="9.140625" style="61" customWidth="1"/>
    <col min="3584" max="3584" width="10" style="61" bestFit="1" customWidth="1"/>
    <col min="3585" max="3585" width="9.140625" style="61"/>
    <col min="3586" max="3586" width="17.85546875" style="61" customWidth="1"/>
    <col min="3587" max="3587" width="8.5703125" style="61" customWidth="1"/>
    <col min="3588" max="3588" width="11.28515625" style="61" customWidth="1"/>
    <col min="3589" max="3589" width="8.5703125" style="61" customWidth="1"/>
    <col min="3590" max="3590" width="12.5703125" style="61" customWidth="1"/>
    <col min="3591" max="3591" width="8.5703125" style="61" customWidth="1"/>
    <col min="3592" max="3592" width="12.5703125" style="61" customWidth="1"/>
    <col min="3593" max="3593" width="16" style="61" customWidth="1"/>
    <col min="3594" max="3821" width="9.140625" style="61"/>
    <col min="3822" max="3822" width="5.5703125" style="61" customWidth="1"/>
    <col min="3823" max="3823" width="40.42578125" style="61" customWidth="1"/>
    <col min="3824" max="3824" width="12.85546875" style="61" customWidth="1"/>
    <col min="3825" max="3825" width="11.85546875" style="61" customWidth="1"/>
    <col min="3826" max="3826" width="19.7109375" style="61" customWidth="1"/>
    <col min="3827" max="3827" width="20.85546875" style="61" customWidth="1"/>
    <col min="3828" max="3830" width="11.42578125" style="61" customWidth="1"/>
    <col min="3831" max="3831" width="33.42578125" style="61" customWidth="1"/>
    <col min="3832" max="3832" width="16.5703125" style="61" customWidth="1"/>
    <col min="3833" max="3834" width="38" style="61" customWidth="1"/>
    <col min="3835" max="3839" width="9.140625" style="61" customWidth="1"/>
    <col min="3840" max="3840" width="10" style="61" bestFit="1" customWidth="1"/>
    <col min="3841" max="3841" width="9.140625" style="61"/>
    <col min="3842" max="3842" width="17.85546875" style="61" customWidth="1"/>
    <col min="3843" max="3843" width="8.5703125" style="61" customWidth="1"/>
    <col min="3844" max="3844" width="11.28515625" style="61" customWidth="1"/>
    <col min="3845" max="3845" width="8.5703125" style="61" customWidth="1"/>
    <col min="3846" max="3846" width="12.5703125" style="61" customWidth="1"/>
    <col min="3847" max="3847" width="8.5703125" style="61" customWidth="1"/>
    <col min="3848" max="3848" width="12.5703125" style="61" customWidth="1"/>
    <col min="3849" max="3849" width="16" style="61" customWidth="1"/>
    <col min="3850" max="4077" width="9.140625" style="61"/>
    <col min="4078" max="4078" width="5.5703125" style="61" customWidth="1"/>
    <col min="4079" max="4079" width="40.42578125" style="61" customWidth="1"/>
    <col min="4080" max="4080" width="12.85546875" style="61" customWidth="1"/>
    <col min="4081" max="4081" width="11.85546875" style="61" customWidth="1"/>
    <col min="4082" max="4082" width="19.7109375" style="61" customWidth="1"/>
    <col min="4083" max="4083" width="20.85546875" style="61" customWidth="1"/>
    <col min="4084" max="4086" width="11.42578125" style="61" customWidth="1"/>
    <col min="4087" max="4087" width="33.42578125" style="61" customWidth="1"/>
    <col min="4088" max="4088" width="16.5703125" style="61" customWidth="1"/>
    <col min="4089" max="4090" width="38" style="61" customWidth="1"/>
    <col min="4091" max="4095" width="9.140625" style="61" customWidth="1"/>
    <col min="4096" max="4096" width="10" style="61" bestFit="1" customWidth="1"/>
    <col min="4097" max="4097" width="9.140625" style="61"/>
    <col min="4098" max="4098" width="17.85546875" style="61" customWidth="1"/>
    <col min="4099" max="4099" width="8.5703125" style="61" customWidth="1"/>
    <col min="4100" max="4100" width="11.28515625" style="61" customWidth="1"/>
    <col min="4101" max="4101" width="8.5703125" style="61" customWidth="1"/>
    <col min="4102" max="4102" width="12.5703125" style="61" customWidth="1"/>
    <col min="4103" max="4103" width="8.5703125" style="61" customWidth="1"/>
    <col min="4104" max="4104" width="12.5703125" style="61" customWidth="1"/>
    <col min="4105" max="4105" width="16" style="61" customWidth="1"/>
    <col min="4106" max="4333" width="9.140625" style="61"/>
    <col min="4334" max="4334" width="5.5703125" style="61" customWidth="1"/>
    <col min="4335" max="4335" width="40.42578125" style="61" customWidth="1"/>
    <col min="4336" max="4336" width="12.85546875" style="61" customWidth="1"/>
    <col min="4337" max="4337" width="11.85546875" style="61" customWidth="1"/>
    <col min="4338" max="4338" width="19.7109375" style="61" customWidth="1"/>
    <col min="4339" max="4339" width="20.85546875" style="61" customWidth="1"/>
    <col min="4340" max="4342" width="11.42578125" style="61" customWidth="1"/>
    <col min="4343" max="4343" width="33.42578125" style="61" customWidth="1"/>
    <col min="4344" max="4344" width="16.5703125" style="61" customWidth="1"/>
    <col min="4345" max="4346" width="38" style="61" customWidth="1"/>
    <col min="4347" max="4351" width="9.140625" style="61" customWidth="1"/>
    <col min="4352" max="4352" width="10" style="61" bestFit="1" customWidth="1"/>
    <col min="4353" max="4353" width="9.140625" style="61"/>
    <col min="4354" max="4354" width="17.85546875" style="61" customWidth="1"/>
    <col min="4355" max="4355" width="8.5703125" style="61" customWidth="1"/>
    <col min="4356" max="4356" width="11.28515625" style="61" customWidth="1"/>
    <col min="4357" max="4357" width="8.5703125" style="61" customWidth="1"/>
    <col min="4358" max="4358" width="12.5703125" style="61" customWidth="1"/>
    <col min="4359" max="4359" width="8.5703125" style="61" customWidth="1"/>
    <col min="4360" max="4360" width="12.5703125" style="61" customWidth="1"/>
    <col min="4361" max="4361" width="16" style="61" customWidth="1"/>
    <col min="4362" max="4589" width="9.140625" style="61"/>
    <col min="4590" max="4590" width="5.5703125" style="61" customWidth="1"/>
    <col min="4591" max="4591" width="40.42578125" style="61" customWidth="1"/>
    <col min="4592" max="4592" width="12.85546875" style="61" customWidth="1"/>
    <col min="4593" max="4593" width="11.85546875" style="61" customWidth="1"/>
    <col min="4594" max="4594" width="19.7109375" style="61" customWidth="1"/>
    <col min="4595" max="4595" width="20.85546875" style="61" customWidth="1"/>
    <col min="4596" max="4598" width="11.42578125" style="61" customWidth="1"/>
    <col min="4599" max="4599" width="33.42578125" style="61" customWidth="1"/>
    <col min="4600" max="4600" width="16.5703125" style="61" customWidth="1"/>
    <col min="4601" max="4602" width="38" style="61" customWidth="1"/>
    <col min="4603" max="4607" width="9.140625" style="61" customWidth="1"/>
    <col min="4608" max="4608" width="10" style="61" bestFit="1" customWidth="1"/>
    <col min="4609" max="4609" width="9.140625" style="61"/>
    <col min="4610" max="4610" width="17.85546875" style="61" customWidth="1"/>
    <col min="4611" max="4611" width="8.5703125" style="61" customWidth="1"/>
    <col min="4612" max="4612" width="11.28515625" style="61" customWidth="1"/>
    <col min="4613" max="4613" width="8.5703125" style="61" customWidth="1"/>
    <col min="4614" max="4614" width="12.5703125" style="61" customWidth="1"/>
    <col min="4615" max="4615" width="8.5703125" style="61" customWidth="1"/>
    <col min="4616" max="4616" width="12.5703125" style="61" customWidth="1"/>
    <col min="4617" max="4617" width="16" style="61" customWidth="1"/>
    <col min="4618" max="4845" width="9.140625" style="61"/>
    <col min="4846" max="4846" width="5.5703125" style="61" customWidth="1"/>
    <col min="4847" max="4847" width="40.42578125" style="61" customWidth="1"/>
    <col min="4848" max="4848" width="12.85546875" style="61" customWidth="1"/>
    <col min="4849" max="4849" width="11.85546875" style="61" customWidth="1"/>
    <col min="4850" max="4850" width="19.7109375" style="61" customWidth="1"/>
    <col min="4851" max="4851" width="20.85546875" style="61" customWidth="1"/>
    <col min="4852" max="4854" width="11.42578125" style="61" customWidth="1"/>
    <col min="4855" max="4855" width="33.42578125" style="61" customWidth="1"/>
    <col min="4856" max="4856" width="16.5703125" style="61" customWidth="1"/>
    <col min="4857" max="4858" width="38" style="61" customWidth="1"/>
    <col min="4859" max="4863" width="9.140625" style="61" customWidth="1"/>
    <col min="4864" max="4864" width="10" style="61" bestFit="1" customWidth="1"/>
    <col min="4865" max="4865" width="9.140625" style="61"/>
    <col min="4866" max="4866" width="17.85546875" style="61" customWidth="1"/>
    <col min="4867" max="4867" width="8.5703125" style="61" customWidth="1"/>
    <col min="4868" max="4868" width="11.28515625" style="61" customWidth="1"/>
    <col min="4869" max="4869" width="8.5703125" style="61" customWidth="1"/>
    <col min="4870" max="4870" width="12.5703125" style="61" customWidth="1"/>
    <col min="4871" max="4871" width="8.5703125" style="61" customWidth="1"/>
    <col min="4872" max="4872" width="12.5703125" style="61" customWidth="1"/>
    <col min="4873" max="4873" width="16" style="61" customWidth="1"/>
    <col min="4874" max="5101" width="9.140625" style="61"/>
    <col min="5102" max="5102" width="5.5703125" style="61" customWidth="1"/>
    <col min="5103" max="5103" width="40.42578125" style="61" customWidth="1"/>
    <col min="5104" max="5104" width="12.85546875" style="61" customWidth="1"/>
    <col min="5105" max="5105" width="11.85546875" style="61" customWidth="1"/>
    <col min="5106" max="5106" width="19.7109375" style="61" customWidth="1"/>
    <col min="5107" max="5107" width="20.85546875" style="61" customWidth="1"/>
    <col min="5108" max="5110" width="11.42578125" style="61" customWidth="1"/>
    <col min="5111" max="5111" width="33.42578125" style="61" customWidth="1"/>
    <col min="5112" max="5112" width="16.5703125" style="61" customWidth="1"/>
    <col min="5113" max="5114" width="38" style="61" customWidth="1"/>
    <col min="5115" max="5119" width="9.140625" style="61" customWidth="1"/>
    <col min="5120" max="5120" width="10" style="61" bestFit="1" customWidth="1"/>
    <col min="5121" max="5121" width="9.140625" style="61"/>
    <col min="5122" max="5122" width="17.85546875" style="61" customWidth="1"/>
    <col min="5123" max="5123" width="8.5703125" style="61" customWidth="1"/>
    <col min="5124" max="5124" width="11.28515625" style="61" customWidth="1"/>
    <col min="5125" max="5125" width="8.5703125" style="61" customWidth="1"/>
    <col min="5126" max="5126" width="12.5703125" style="61" customWidth="1"/>
    <col min="5127" max="5127" width="8.5703125" style="61" customWidth="1"/>
    <col min="5128" max="5128" width="12.5703125" style="61" customWidth="1"/>
    <col min="5129" max="5129" width="16" style="61" customWidth="1"/>
    <col min="5130" max="5357" width="9.140625" style="61"/>
    <col min="5358" max="5358" width="5.5703125" style="61" customWidth="1"/>
    <col min="5359" max="5359" width="40.42578125" style="61" customWidth="1"/>
    <col min="5360" max="5360" width="12.85546875" style="61" customWidth="1"/>
    <col min="5361" max="5361" width="11.85546875" style="61" customWidth="1"/>
    <col min="5362" max="5362" width="19.7109375" style="61" customWidth="1"/>
    <col min="5363" max="5363" width="20.85546875" style="61" customWidth="1"/>
    <col min="5364" max="5366" width="11.42578125" style="61" customWidth="1"/>
    <col min="5367" max="5367" width="33.42578125" style="61" customWidth="1"/>
    <col min="5368" max="5368" width="16.5703125" style="61" customWidth="1"/>
    <col min="5369" max="5370" width="38" style="61" customWidth="1"/>
    <col min="5371" max="5375" width="9.140625" style="61" customWidth="1"/>
    <col min="5376" max="5376" width="10" style="61" bestFit="1" customWidth="1"/>
    <col min="5377" max="5377" width="9.140625" style="61"/>
    <col min="5378" max="5378" width="17.85546875" style="61" customWidth="1"/>
    <col min="5379" max="5379" width="8.5703125" style="61" customWidth="1"/>
    <col min="5380" max="5380" width="11.28515625" style="61" customWidth="1"/>
    <col min="5381" max="5381" width="8.5703125" style="61" customWidth="1"/>
    <col min="5382" max="5382" width="12.5703125" style="61" customWidth="1"/>
    <col min="5383" max="5383" width="8.5703125" style="61" customWidth="1"/>
    <col min="5384" max="5384" width="12.5703125" style="61" customWidth="1"/>
    <col min="5385" max="5385" width="16" style="61" customWidth="1"/>
    <col min="5386" max="5613" width="9.140625" style="61"/>
    <col min="5614" max="5614" width="5.5703125" style="61" customWidth="1"/>
    <col min="5615" max="5615" width="40.42578125" style="61" customWidth="1"/>
    <col min="5616" max="5616" width="12.85546875" style="61" customWidth="1"/>
    <col min="5617" max="5617" width="11.85546875" style="61" customWidth="1"/>
    <col min="5618" max="5618" width="19.7109375" style="61" customWidth="1"/>
    <col min="5619" max="5619" width="20.85546875" style="61" customWidth="1"/>
    <col min="5620" max="5622" width="11.42578125" style="61" customWidth="1"/>
    <col min="5623" max="5623" width="33.42578125" style="61" customWidth="1"/>
    <col min="5624" max="5624" width="16.5703125" style="61" customWidth="1"/>
    <col min="5625" max="5626" width="38" style="61" customWidth="1"/>
    <col min="5627" max="5631" width="9.140625" style="61" customWidth="1"/>
    <col min="5632" max="5632" width="10" style="61" bestFit="1" customWidth="1"/>
    <col min="5633" max="5633" width="9.140625" style="61"/>
    <col min="5634" max="5634" width="17.85546875" style="61" customWidth="1"/>
    <col min="5635" max="5635" width="8.5703125" style="61" customWidth="1"/>
    <col min="5636" max="5636" width="11.28515625" style="61" customWidth="1"/>
    <col min="5637" max="5637" width="8.5703125" style="61" customWidth="1"/>
    <col min="5638" max="5638" width="12.5703125" style="61" customWidth="1"/>
    <col min="5639" max="5639" width="8.5703125" style="61" customWidth="1"/>
    <col min="5640" max="5640" width="12.5703125" style="61" customWidth="1"/>
    <col min="5641" max="5641" width="16" style="61" customWidth="1"/>
    <col min="5642" max="5869" width="9.140625" style="61"/>
    <col min="5870" max="5870" width="5.5703125" style="61" customWidth="1"/>
    <col min="5871" max="5871" width="40.42578125" style="61" customWidth="1"/>
    <col min="5872" max="5872" width="12.85546875" style="61" customWidth="1"/>
    <col min="5873" max="5873" width="11.85546875" style="61" customWidth="1"/>
    <col min="5874" max="5874" width="19.7109375" style="61" customWidth="1"/>
    <col min="5875" max="5875" width="20.85546875" style="61" customWidth="1"/>
    <col min="5876" max="5878" width="11.42578125" style="61" customWidth="1"/>
    <col min="5879" max="5879" width="33.42578125" style="61" customWidth="1"/>
    <col min="5880" max="5880" width="16.5703125" style="61" customWidth="1"/>
    <col min="5881" max="5882" width="38" style="61" customWidth="1"/>
    <col min="5883" max="5887" width="9.140625" style="61" customWidth="1"/>
    <col min="5888" max="5888" width="10" style="61" bestFit="1" customWidth="1"/>
    <col min="5889" max="5889" width="9.140625" style="61"/>
    <col min="5890" max="5890" width="17.85546875" style="61" customWidth="1"/>
    <col min="5891" max="5891" width="8.5703125" style="61" customWidth="1"/>
    <col min="5892" max="5892" width="11.28515625" style="61" customWidth="1"/>
    <col min="5893" max="5893" width="8.5703125" style="61" customWidth="1"/>
    <col min="5894" max="5894" width="12.5703125" style="61" customWidth="1"/>
    <col min="5895" max="5895" width="8.5703125" style="61" customWidth="1"/>
    <col min="5896" max="5896" width="12.5703125" style="61" customWidth="1"/>
    <col min="5897" max="5897" width="16" style="61" customWidth="1"/>
    <col min="5898" max="6125" width="9.140625" style="61"/>
    <col min="6126" max="6126" width="5.5703125" style="61" customWidth="1"/>
    <col min="6127" max="6127" width="40.42578125" style="61" customWidth="1"/>
    <col min="6128" max="6128" width="12.85546875" style="61" customWidth="1"/>
    <col min="6129" max="6129" width="11.85546875" style="61" customWidth="1"/>
    <col min="6130" max="6130" width="19.7109375" style="61" customWidth="1"/>
    <col min="6131" max="6131" width="20.85546875" style="61" customWidth="1"/>
    <col min="6132" max="6134" width="11.42578125" style="61" customWidth="1"/>
    <col min="6135" max="6135" width="33.42578125" style="61" customWidth="1"/>
    <col min="6136" max="6136" width="16.5703125" style="61" customWidth="1"/>
    <col min="6137" max="6138" width="38" style="61" customWidth="1"/>
    <col min="6139" max="6143" width="9.140625" style="61" customWidth="1"/>
    <col min="6144" max="6144" width="10" style="61" bestFit="1" customWidth="1"/>
    <col min="6145" max="6145" width="9.140625" style="61"/>
    <col min="6146" max="6146" width="17.85546875" style="61" customWidth="1"/>
    <col min="6147" max="6147" width="8.5703125" style="61" customWidth="1"/>
    <col min="6148" max="6148" width="11.28515625" style="61" customWidth="1"/>
    <col min="6149" max="6149" width="8.5703125" style="61" customWidth="1"/>
    <col min="6150" max="6150" width="12.5703125" style="61" customWidth="1"/>
    <col min="6151" max="6151" width="8.5703125" style="61" customWidth="1"/>
    <col min="6152" max="6152" width="12.5703125" style="61" customWidth="1"/>
    <col min="6153" max="6153" width="16" style="61" customWidth="1"/>
    <col min="6154" max="6381" width="9.140625" style="61"/>
    <col min="6382" max="6382" width="5.5703125" style="61" customWidth="1"/>
    <col min="6383" max="6383" width="40.42578125" style="61" customWidth="1"/>
    <col min="6384" max="6384" width="12.85546875" style="61" customWidth="1"/>
    <col min="6385" max="6385" width="11.85546875" style="61" customWidth="1"/>
    <col min="6386" max="6386" width="19.7109375" style="61" customWidth="1"/>
    <col min="6387" max="6387" width="20.85546875" style="61" customWidth="1"/>
    <col min="6388" max="6390" width="11.42578125" style="61" customWidth="1"/>
    <col min="6391" max="6391" width="33.42578125" style="61" customWidth="1"/>
    <col min="6392" max="6392" width="16.5703125" style="61" customWidth="1"/>
    <col min="6393" max="6394" width="38" style="61" customWidth="1"/>
    <col min="6395" max="6399" width="9.140625" style="61" customWidth="1"/>
    <col min="6400" max="6400" width="10" style="61" bestFit="1" customWidth="1"/>
    <col min="6401" max="6401" width="9.140625" style="61"/>
    <col min="6402" max="6402" width="17.85546875" style="61" customWidth="1"/>
    <col min="6403" max="6403" width="8.5703125" style="61" customWidth="1"/>
    <col min="6404" max="6404" width="11.28515625" style="61" customWidth="1"/>
    <col min="6405" max="6405" width="8.5703125" style="61" customWidth="1"/>
    <col min="6406" max="6406" width="12.5703125" style="61" customWidth="1"/>
    <col min="6407" max="6407" width="8.5703125" style="61" customWidth="1"/>
    <col min="6408" max="6408" width="12.5703125" style="61" customWidth="1"/>
    <col min="6409" max="6409" width="16" style="61" customWidth="1"/>
    <col min="6410" max="6637" width="9.140625" style="61"/>
    <col min="6638" max="6638" width="5.5703125" style="61" customWidth="1"/>
    <col min="6639" max="6639" width="40.42578125" style="61" customWidth="1"/>
    <col min="6640" max="6640" width="12.85546875" style="61" customWidth="1"/>
    <col min="6641" max="6641" width="11.85546875" style="61" customWidth="1"/>
    <col min="6642" max="6642" width="19.7109375" style="61" customWidth="1"/>
    <col min="6643" max="6643" width="20.85546875" style="61" customWidth="1"/>
    <col min="6644" max="6646" width="11.42578125" style="61" customWidth="1"/>
    <col min="6647" max="6647" width="33.42578125" style="61" customWidth="1"/>
    <col min="6648" max="6648" width="16.5703125" style="61" customWidth="1"/>
    <col min="6649" max="6650" width="38" style="61" customWidth="1"/>
    <col min="6651" max="6655" width="9.140625" style="61" customWidth="1"/>
    <col min="6656" max="6656" width="10" style="61" bestFit="1" customWidth="1"/>
    <col min="6657" max="6657" width="9.140625" style="61"/>
    <col min="6658" max="6658" width="17.85546875" style="61" customWidth="1"/>
    <col min="6659" max="6659" width="8.5703125" style="61" customWidth="1"/>
    <col min="6660" max="6660" width="11.28515625" style="61" customWidth="1"/>
    <col min="6661" max="6661" width="8.5703125" style="61" customWidth="1"/>
    <col min="6662" max="6662" width="12.5703125" style="61" customWidth="1"/>
    <col min="6663" max="6663" width="8.5703125" style="61" customWidth="1"/>
    <col min="6664" max="6664" width="12.5703125" style="61" customWidth="1"/>
    <col min="6665" max="6665" width="16" style="61" customWidth="1"/>
    <col min="6666" max="6893" width="9.140625" style="61"/>
    <col min="6894" max="6894" width="5.5703125" style="61" customWidth="1"/>
    <col min="6895" max="6895" width="40.42578125" style="61" customWidth="1"/>
    <col min="6896" max="6896" width="12.85546875" style="61" customWidth="1"/>
    <col min="6897" max="6897" width="11.85546875" style="61" customWidth="1"/>
    <col min="6898" max="6898" width="19.7109375" style="61" customWidth="1"/>
    <col min="6899" max="6899" width="20.85546875" style="61" customWidth="1"/>
    <col min="6900" max="6902" width="11.42578125" style="61" customWidth="1"/>
    <col min="6903" max="6903" width="33.42578125" style="61" customWidth="1"/>
    <col min="6904" max="6904" width="16.5703125" style="61" customWidth="1"/>
    <col min="6905" max="6906" width="38" style="61" customWidth="1"/>
    <col min="6907" max="6911" width="9.140625" style="61" customWidth="1"/>
    <col min="6912" max="6912" width="10" style="61" bestFit="1" customWidth="1"/>
    <col min="6913" max="6913" width="9.140625" style="61"/>
    <col min="6914" max="6914" width="17.85546875" style="61" customWidth="1"/>
    <col min="6915" max="6915" width="8.5703125" style="61" customWidth="1"/>
    <col min="6916" max="6916" width="11.28515625" style="61" customWidth="1"/>
    <col min="6917" max="6917" width="8.5703125" style="61" customWidth="1"/>
    <col min="6918" max="6918" width="12.5703125" style="61" customWidth="1"/>
    <col min="6919" max="6919" width="8.5703125" style="61" customWidth="1"/>
    <col min="6920" max="6920" width="12.5703125" style="61" customWidth="1"/>
    <col min="6921" max="6921" width="16" style="61" customWidth="1"/>
    <col min="6922" max="7149" width="9.140625" style="61"/>
    <col min="7150" max="7150" width="5.5703125" style="61" customWidth="1"/>
    <col min="7151" max="7151" width="40.42578125" style="61" customWidth="1"/>
    <col min="7152" max="7152" width="12.85546875" style="61" customWidth="1"/>
    <col min="7153" max="7153" width="11.85546875" style="61" customWidth="1"/>
    <col min="7154" max="7154" width="19.7109375" style="61" customWidth="1"/>
    <col min="7155" max="7155" width="20.85546875" style="61" customWidth="1"/>
    <col min="7156" max="7158" width="11.42578125" style="61" customWidth="1"/>
    <col min="7159" max="7159" width="33.42578125" style="61" customWidth="1"/>
    <col min="7160" max="7160" width="16.5703125" style="61" customWidth="1"/>
    <col min="7161" max="7162" width="38" style="61" customWidth="1"/>
    <col min="7163" max="7167" width="9.140625" style="61" customWidth="1"/>
    <col min="7168" max="7168" width="10" style="61" bestFit="1" customWidth="1"/>
    <col min="7169" max="7169" width="9.140625" style="61"/>
    <col min="7170" max="7170" width="17.85546875" style="61" customWidth="1"/>
    <col min="7171" max="7171" width="8.5703125" style="61" customWidth="1"/>
    <col min="7172" max="7172" width="11.28515625" style="61" customWidth="1"/>
    <col min="7173" max="7173" width="8.5703125" style="61" customWidth="1"/>
    <col min="7174" max="7174" width="12.5703125" style="61" customWidth="1"/>
    <col min="7175" max="7175" width="8.5703125" style="61" customWidth="1"/>
    <col min="7176" max="7176" width="12.5703125" style="61" customWidth="1"/>
    <col min="7177" max="7177" width="16" style="61" customWidth="1"/>
    <col min="7178" max="7405" width="9.140625" style="61"/>
    <col min="7406" max="7406" width="5.5703125" style="61" customWidth="1"/>
    <col min="7407" max="7407" width="40.42578125" style="61" customWidth="1"/>
    <col min="7408" max="7408" width="12.85546875" style="61" customWidth="1"/>
    <col min="7409" max="7409" width="11.85546875" style="61" customWidth="1"/>
    <col min="7410" max="7410" width="19.7109375" style="61" customWidth="1"/>
    <col min="7411" max="7411" width="20.85546875" style="61" customWidth="1"/>
    <col min="7412" max="7414" width="11.42578125" style="61" customWidth="1"/>
    <col min="7415" max="7415" width="33.42578125" style="61" customWidth="1"/>
    <col min="7416" max="7416" width="16.5703125" style="61" customWidth="1"/>
    <col min="7417" max="7418" width="38" style="61" customWidth="1"/>
    <col min="7419" max="7423" width="9.140625" style="61" customWidth="1"/>
    <col min="7424" max="7424" width="10" style="61" bestFit="1" customWidth="1"/>
    <col min="7425" max="7425" width="9.140625" style="61"/>
    <col min="7426" max="7426" width="17.85546875" style="61" customWidth="1"/>
    <col min="7427" max="7427" width="8.5703125" style="61" customWidth="1"/>
    <col min="7428" max="7428" width="11.28515625" style="61" customWidth="1"/>
    <col min="7429" max="7429" width="8.5703125" style="61" customWidth="1"/>
    <col min="7430" max="7430" width="12.5703125" style="61" customWidth="1"/>
    <col min="7431" max="7431" width="8.5703125" style="61" customWidth="1"/>
    <col min="7432" max="7432" width="12.5703125" style="61" customWidth="1"/>
    <col min="7433" max="7433" width="16" style="61" customWidth="1"/>
    <col min="7434" max="7661" width="9.140625" style="61"/>
    <col min="7662" max="7662" width="5.5703125" style="61" customWidth="1"/>
    <col min="7663" max="7663" width="40.42578125" style="61" customWidth="1"/>
    <col min="7664" max="7664" width="12.85546875" style="61" customWidth="1"/>
    <col min="7665" max="7665" width="11.85546875" style="61" customWidth="1"/>
    <col min="7666" max="7666" width="19.7109375" style="61" customWidth="1"/>
    <col min="7667" max="7667" width="20.85546875" style="61" customWidth="1"/>
    <col min="7668" max="7670" width="11.42578125" style="61" customWidth="1"/>
    <col min="7671" max="7671" width="33.42578125" style="61" customWidth="1"/>
    <col min="7672" max="7672" width="16.5703125" style="61" customWidth="1"/>
    <col min="7673" max="7674" width="38" style="61" customWidth="1"/>
    <col min="7675" max="7679" width="9.140625" style="61" customWidth="1"/>
    <col min="7680" max="7680" width="10" style="61" bestFit="1" customWidth="1"/>
    <col min="7681" max="7681" width="9.140625" style="61"/>
    <col min="7682" max="7682" width="17.85546875" style="61" customWidth="1"/>
    <col min="7683" max="7683" width="8.5703125" style="61" customWidth="1"/>
    <col min="7684" max="7684" width="11.28515625" style="61" customWidth="1"/>
    <col min="7685" max="7685" width="8.5703125" style="61" customWidth="1"/>
    <col min="7686" max="7686" width="12.5703125" style="61" customWidth="1"/>
    <col min="7687" max="7687" width="8.5703125" style="61" customWidth="1"/>
    <col min="7688" max="7688" width="12.5703125" style="61" customWidth="1"/>
    <col min="7689" max="7689" width="16" style="61" customWidth="1"/>
    <col min="7690" max="7917" width="9.140625" style="61"/>
    <col min="7918" max="7918" width="5.5703125" style="61" customWidth="1"/>
    <col min="7919" max="7919" width="40.42578125" style="61" customWidth="1"/>
    <col min="7920" max="7920" width="12.85546875" style="61" customWidth="1"/>
    <col min="7921" max="7921" width="11.85546875" style="61" customWidth="1"/>
    <col min="7922" max="7922" width="19.7109375" style="61" customWidth="1"/>
    <col min="7923" max="7923" width="20.85546875" style="61" customWidth="1"/>
    <col min="7924" max="7926" width="11.42578125" style="61" customWidth="1"/>
    <col min="7927" max="7927" width="33.42578125" style="61" customWidth="1"/>
    <col min="7928" max="7928" width="16.5703125" style="61" customWidth="1"/>
    <col min="7929" max="7930" width="38" style="61" customWidth="1"/>
    <col min="7931" max="7935" width="9.140625" style="61" customWidth="1"/>
    <col min="7936" max="7936" width="10" style="61" bestFit="1" customWidth="1"/>
    <col min="7937" max="7937" width="9.140625" style="61"/>
    <col min="7938" max="7938" width="17.85546875" style="61" customWidth="1"/>
    <col min="7939" max="7939" width="8.5703125" style="61" customWidth="1"/>
    <col min="7940" max="7940" width="11.28515625" style="61" customWidth="1"/>
    <col min="7941" max="7941" width="8.5703125" style="61" customWidth="1"/>
    <col min="7942" max="7942" width="12.5703125" style="61" customWidth="1"/>
    <col min="7943" max="7943" width="8.5703125" style="61" customWidth="1"/>
    <col min="7944" max="7944" width="12.5703125" style="61" customWidth="1"/>
    <col min="7945" max="7945" width="16" style="61" customWidth="1"/>
    <col min="7946" max="8173" width="9.140625" style="61"/>
    <col min="8174" max="8174" width="5.5703125" style="61" customWidth="1"/>
    <col min="8175" max="8175" width="40.42578125" style="61" customWidth="1"/>
    <col min="8176" max="8176" width="12.85546875" style="61" customWidth="1"/>
    <col min="8177" max="8177" width="11.85546875" style="61" customWidth="1"/>
    <col min="8178" max="8178" width="19.7109375" style="61" customWidth="1"/>
    <col min="8179" max="8179" width="20.85546875" style="61" customWidth="1"/>
    <col min="8180" max="8182" width="11.42578125" style="61" customWidth="1"/>
    <col min="8183" max="8183" width="33.42578125" style="61" customWidth="1"/>
    <col min="8184" max="8184" width="16.5703125" style="61" customWidth="1"/>
    <col min="8185" max="8186" width="38" style="61" customWidth="1"/>
    <col min="8187" max="8191" width="9.140625" style="61" customWidth="1"/>
    <col min="8192" max="8192" width="10" style="61" bestFit="1" customWidth="1"/>
    <col min="8193" max="8193" width="9.140625" style="61"/>
    <col min="8194" max="8194" width="17.85546875" style="61" customWidth="1"/>
    <col min="8195" max="8195" width="8.5703125" style="61" customWidth="1"/>
    <col min="8196" max="8196" width="11.28515625" style="61" customWidth="1"/>
    <col min="8197" max="8197" width="8.5703125" style="61" customWidth="1"/>
    <col min="8198" max="8198" width="12.5703125" style="61" customWidth="1"/>
    <col min="8199" max="8199" width="8.5703125" style="61" customWidth="1"/>
    <col min="8200" max="8200" width="12.5703125" style="61" customWidth="1"/>
    <col min="8201" max="8201" width="16" style="61" customWidth="1"/>
    <col min="8202" max="8429" width="9.140625" style="61"/>
    <col min="8430" max="8430" width="5.5703125" style="61" customWidth="1"/>
    <col min="8431" max="8431" width="40.42578125" style="61" customWidth="1"/>
    <col min="8432" max="8432" width="12.85546875" style="61" customWidth="1"/>
    <col min="8433" max="8433" width="11.85546875" style="61" customWidth="1"/>
    <col min="8434" max="8434" width="19.7109375" style="61" customWidth="1"/>
    <col min="8435" max="8435" width="20.85546875" style="61" customWidth="1"/>
    <col min="8436" max="8438" width="11.42578125" style="61" customWidth="1"/>
    <col min="8439" max="8439" width="33.42578125" style="61" customWidth="1"/>
    <col min="8440" max="8440" width="16.5703125" style="61" customWidth="1"/>
    <col min="8441" max="8442" width="38" style="61" customWidth="1"/>
    <col min="8443" max="8447" width="9.140625" style="61" customWidth="1"/>
    <col min="8448" max="8448" width="10" style="61" bestFit="1" customWidth="1"/>
    <col min="8449" max="8449" width="9.140625" style="61"/>
    <col min="8450" max="8450" width="17.85546875" style="61" customWidth="1"/>
    <col min="8451" max="8451" width="8.5703125" style="61" customWidth="1"/>
    <col min="8452" max="8452" width="11.28515625" style="61" customWidth="1"/>
    <col min="8453" max="8453" width="8.5703125" style="61" customWidth="1"/>
    <col min="8454" max="8454" width="12.5703125" style="61" customWidth="1"/>
    <col min="8455" max="8455" width="8.5703125" style="61" customWidth="1"/>
    <col min="8456" max="8456" width="12.5703125" style="61" customWidth="1"/>
    <col min="8457" max="8457" width="16" style="61" customWidth="1"/>
    <col min="8458" max="8685" width="9.140625" style="61"/>
    <col min="8686" max="8686" width="5.5703125" style="61" customWidth="1"/>
    <col min="8687" max="8687" width="40.42578125" style="61" customWidth="1"/>
    <col min="8688" max="8688" width="12.85546875" style="61" customWidth="1"/>
    <col min="8689" max="8689" width="11.85546875" style="61" customWidth="1"/>
    <col min="8690" max="8690" width="19.7109375" style="61" customWidth="1"/>
    <col min="8691" max="8691" width="20.85546875" style="61" customWidth="1"/>
    <col min="8692" max="8694" width="11.42578125" style="61" customWidth="1"/>
    <col min="8695" max="8695" width="33.42578125" style="61" customWidth="1"/>
    <col min="8696" max="8696" width="16.5703125" style="61" customWidth="1"/>
    <col min="8697" max="8698" width="38" style="61" customWidth="1"/>
    <col min="8699" max="8703" width="9.140625" style="61" customWidth="1"/>
    <col min="8704" max="8704" width="10" style="61" bestFit="1" customWidth="1"/>
    <col min="8705" max="8705" width="9.140625" style="61"/>
    <col min="8706" max="8706" width="17.85546875" style="61" customWidth="1"/>
    <col min="8707" max="8707" width="8.5703125" style="61" customWidth="1"/>
    <col min="8708" max="8708" width="11.28515625" style="61" customWidth="1"/>
    <col min="8709" max="8709" width="8.5703125" style="61" customWidth="1"/>
    <col min="8710" max="8710" width="12.5703125" style="61" customWidth="1"/>
    <col min="8711" max="8711" width="8.5703125" style="61" customWidth="1"/>
    <col min="8712" max="8712" width="12.5703125" style="61" customWidth="1"/>
    <col min="8713" max="8713" width="16" style="61" customWidth="1"/>
    <col min="8714" max="8941" width="9.140625" style="61"/>
    <col min="8942" max="8942" width="5.5703125" style="61" customWidth="1"/>
    <col min="8943" max="8943" width="40.42578125" style="61" customWidth="1"/>
    <col min="8944" max="8944" width="12.85546875" style="61" customWidth="1"/>
    <col min="8945" max="8945" width="11.85546875" style="61" customWidth="1"/>
    <col min="8946" max="8946" width="19.7109375" style="61" customWidth="1"/>
    <col min="8947" max="8947" width="20.85546875" style="61" customWidth="1"/>
    <col min="8948" max="8950" width="11.42578125" style="61" customWidth="1"/>
    <col min="8951" max="8951" width="33.42578125" style="61" customWidth="1"/>
    <col min="8952" max="8952" width="16.5703125" style="61" customWidth="1"/>
    <col min="8953" max="8954" width="38" style="61" customWidth="1"/>
    <col min="8955" max="8959" width="9.140625" style="61" customWidth="1"/>
    <col min="8960" max="8960" width="10" style="61" bestFit="1" customWidth="1"/>
    <col min="8961" max="8961" width="9.140625" style="61"/>
    <col min="8962" max="8962" width="17.85546875" style="61" customWidth="1"/>
    <col min="8963" max="8963" width="8.5703125" style="61" customWidth="1"/>
    <col min="8964" max="8964" width="11.28515625" style="61" customWidth="1"/>
    <col min="8965" max="8965" width="8.5703125" style="61" customWidth="1"/>
    <col min="8966" max="8966" width="12.5703125" style="61" customWidth="1"/>
    <col min="8967" max="8967" width="8.5703125" style="61" customWidth="1"/>
    <col min="8968" max="8968" width="12.5703125" style="61" customWidth="1"/>
    <col min="8969" max="8969" width="16" style="61" customWidth="1"/>
    <col min="8970" max="9197" width="9.140625" style="61"/>
    <col min="9198" max="9198" width="5.5703125" style="61" customWidth="1"/>
    <col min="9199" max="9199" width="40.42578125" style="61" customWidth="1"/>
    <col min="9200" max="9200" width="12.85546875" style="61" customWidth="1"/>
    <col min="9201" max="9201" width="11.85546875" style="61" customWidth="1"/>
    <col min="9202" max="9202" width="19.7109375" style="61" customWidth="1"/>
    <col min="9203" max="9203" width="20.85546875" style="61" customWidth="1"/>
    <col min="9204" max="9206" width="11.42578125" style="61" customWidth="1"/>
    <col min="9207" max="9207" width="33.42578125" style="61" customWidth="1"/>
    <col min="9208" max="9208" width="16.5703125" style="61" customWidth="1"/>
    <col min="9209" max="9210" width="38" style="61" customWidth="1"/>
    <col min="9211" max="9215" width="9.140625" style="61" customWidth="1"/>
    <col min="9216" max="9216" width="10" style="61" bestFit="1" customWidth="1"/>
    <col min="9217" max="9217" width="9.140625" style="61"/>
    <col min="9218" max="9218" width="17.85546875" style="61" customWidth="1"/>
    <col min="9219" max="9219" width="8.5703125" style="61" customWidth="1"/>
    <col min="9220" max="9220" width="11.28515625" style="61" customWidth="1"/>
    <col min="9221" max="9221" width="8.5703125" style="61" customWidth="1"/>
    <col min="9222" max="9222" width="12.5703125" style="61" customWidth="1"/>
    <col min="9223" max="9223" width="8.5703125" style="61" customWidth="1"/>
    <col min="9224" max="9224" width="12.5703125" style="61" customWidth="1"/>
    <col min="9225" max="9225" width="16" style="61" customWidth="1"/>
    <col min="9226" max="9453" width="9.140625" style="61"/>
    <col min="9454" max="9454" width="5.5703125" style="61" customWidth="1"/>
    <col min="9455" max="9455" width="40.42578125" style="61" customWidth="1"/>
    <col min="9456" max="9456" width="12.85546875" style="61" customWidth="1"/>
    <col min="9457" max="9457" width="11.85546875" style="61" customWidth="1"/>
    <col min="9458" max="9458" width="19.7109375" style="61" customWidth="1"/>
    <col min="9459" max="9459" width="20.85546875" style="61" customWidth="1"/>
    <col min="9460" max="9462" width="11.42578125" style="61" customWidth="1"/>
    <col min="9463" max="9463" width="33.42578125" style="61" customWidth="1"/>
    <col min="9464" max="9464" width="16.5703125" style="61" customWidth="1"/>
    <col min="9465" max="9466" width="38" style="61" customWidth="1"/>
    <col min="9467" max="9471" width="9.140625" style="61" customWidth="1"/>
    <col min="9472" max="9472" width="10" style="61" bestFit="1" customWidth="1"/>
    <col min="9473" max="9473" width="9.140625" style="61"/>
    <col min="9474" max="9474" width="17.85546875" style="61" customWidth="1"/>
    <col min="9475" max="9475" width="8.5703125" style="61" customWidth="1"/>
    <col min="9476" max="9476" width="11.28515625" style="61" customWidth="1"/>
    <col min="9477" max="9477" width="8.5703125" style="61" customWidth="1"/>
    <col min="9478" max="9478" width="12.5703125" style="61" customWidth="1"/>
    <col min="9479" max="9479" width="8.5703125" style="61" customWidth="1"/>
    <col min="9480" max="9480" width="12.5703125" style="61" customWidth="1"/>
    <col min="9481" max="9481" width="16" style="61" customWidth="1"/>
    <col min="9482" max="9709" width="9.140625" style="61"/>
    <col min="9710" max="9710" width="5.5703125" style="61" customWidth="1"/>
    <col min="9711" max="9711" width="40.42578125" style="61" customWidth="1"/>
    <col min="9712" max="9712" width="12.85546875" style="61" customWidth="1"/>
    <col min="9713" max="9713" width="11.85546875" style="61" customWidth="1"/>
    <col min="9714" max="9714" width="19.7109375" style="61" customWidth="1"/>
    <col min="9715" max="9715" width="20.85546875" style="61" customWidth="1"/>
    <col min="9716" max="9718" width="11.42578125" style="61" customWidth="1"/>
    <col min="9719" max="9719" width="33.42578125" style="61" customWidth="1"/>
    <col min="9720" max="9720" width="16.5703125" style="61" customWidth="1"/>
    <col min="9721" max="9722" width="38" style="61" customWidth="1"/>
    <col min="9723" max="9727" width="9.140625" style="61" customWidth="1"/>
    <col min="9728" max="9728" width="10" style="61" bestFit="1" customWidth="1"/>
    <col min="9729" max="9729" width="9.140625" style="61"/>
    <col min="9730" max="9730" width="17.85546875" style="61" customWidth="1"/>
    <col min="9731" max="9731" width="8.5703125" style="61" customWidth="1"/>
    <col min="9732" max="9732" width="11.28515625" style="61" customWidth="1"/>
    <col min="9733" max="9733" width="8.5703125" style="61" customWidth="1"/>
    <col min="9734" max="9734" width="12.5703125" style="61" customWidth="1"/>
    <col min="9735" max="9735" width="8.5703125" style="61" customWidth="1"/>
    <col min="9736" max="9736" width="12.5703125" style="61" customWidth="1"/>
    <col min="9737" max="9737" width="16" style="61" customWidth="1"/>
    <col min="9738" max="9965" width="9.140625" style="61"/>
    <col min="9966" max="9966" width="5.5703125" style="61" customWidth="1"/>
    <col min="9967" max="9967" width="40.42578125" style="61" customWidth="1"/>
    <col min="9968" max="9968" width="12.85546875" style="61" customWidth="1"/>
    <col min="9969" max="9969" width="11.85546875" style="61" customWidth="1"/>
    <col min="9970" max="9970" width="19.7109375" style="61" customWidth="1"/>
    <col min="9971" max="9971" width="20.85546875" style="61" customWidth="1"/>
    <col min="9972" max="9974" width="11.42578125" style="61" customWidth="1"/>
    <col min="9975" max="9975" width="33.42578125" style="61" customWidth="1"/>
    <col min="9976" max="9976" width="16.5703125" style="61" customWidth="1"/>
    <col min="9977" max="9978" width="38" style="61" customWidth="1"/>
    <col min="9979" max="9983" width="9.140625" style="61" customWidth="1"/>
    <col min="9984" max="9984" width="10" style="61" bestFit="1" customWidth="1"/>
    <col min="9985" max="9985" width="9.140625" style="61"/>
    <col min="9986" max="9986" width="17.85546875" style="61" customWidth="1"/>
    <col min="9987" max="9987" width="8.5703125" style="61" customWidth="1"/>
    <col min="9988" max="9988" width="11.28515625" style="61" customWidth="1"/>
    <col min="9989" max="9989" width="8.5703125" style="61" customWidth="1"/>
    <col min="9990" max="9990" width="12.5703125" style="61" customWidth="1"/>
    <col min="9991" max="9991" width="8.5703125" style="61" customWidth="1"/>
    <col min="9992" max="9992" width="12.5703125" style="61" customWidth="1"/>
    <col min="9993" max="9993" width="16" style="61" customWidth="1"/>
    <col min="9994" max="10221" width="9.140625" style="61"/>
    <col min="10222" max="10222" width="5.5703125" style="61" customWidth="1"/>
    <col min="10223" max="10223" width="40.42578125" style="61" customWidth="1"/>
    <col min="10224" max="10224" width="12.85546875" style="61" customWidth="1"/>
    <col min="10225" max="10225" width="11.85546875" style="61" customWidth="1"/>
    <col min="10226" max="10226" width="19.7109375" style="61" customWidth="1"/>
    <col min="10227" max="10227" width="20.85546875" style="61" customWidth="1"/>
    <col min="10228" max="10230" width="11.42578125" style="61" customWidth="1"/>
    <col min="10231" max="10231" width="33.42578125" style="61" customWidth="1"/>
    <col min="10232" max="10232" width="16.5703125" style="61" customWidth="1"/>
    <col min="10233" max="10234" width="38" style="61" customWidth="1"/>
    <col min="10235" max="10239" width="9.140625" style="61" customWidth="1"/>
    <col min="10240" max="10240" width="10" style="61" bestFit="1" customWidth="1"/>
    <col min="10241" max="10241" width="9.140625" style="61"/>
    <col min="10242" max="10242" width="17.85546875" style="61" customWidth="1"/>
    <col min="10243" max="10243" width="8.5703125" style="61" customWidth="1"/>
    <col min="10244" max="10244" width="11.28515625" style="61" customWidth="1"/>
    <col min="10245" max="10245" width="8.5703125" style="61" customWidth="1"/>
    <col min="10246" max="10246" width="12.5703125" style="61" customWidth="1"/>
    <col min="10247" max="10247" width="8.5703125" style="61" customWidth="1"/>
    <col min="10248" max="10248" width="12.5703125" style="61" customWidth="1"/>
    <col min="10249" max="10249" width="16" style="61" customWidth="1"/>
    <col min="10250" max="10477" width="9.140625" style="61"/>
    <col min="10478" max="10478" width="5.5703125" style="61" customWidth="1"/>
    <col min="10479" max="10479" width="40.42578125" style="61" customWidth="1"/>
    <col min="10480" max="10480" width="12.85546875" style="61" customWidth="1"/>
    <col min="10481" max="10481" width="11.85546875" style="61" customWidth="1"/>
    <col min="10482" max="10482" width="19.7109375" style="61" customWidth="1"/>
    <col min="10483" max="10483" width="20.85546875" style="61" customWidth="1"/>
    <col min="10484" max="10486" width="11.42578125" style="61" customWidth="1"/>
    <col min="10487" max="10487" width="33.42578125" style="61" customWidth="1"/>
    <col min="10488" max="10488" width="16.5703125" style="61" customWidth="1"/>
    <col min="10489" max="10490" width="38" style="61" customWidth="1"/>
    <col min="10491" max="10495" width="9.140625" style="61" customWidth="1"/>
    <col min="10496" max="10496" width="10" style="61" bestFit="1" customWidth="1"/>
    <col min="10497" max="10497" width="9.140625" style="61"/>
    <col min="10498" max="10498" width="17.85546875" style="61" customWidth="1"/>
    <col min="10499" max="10499" width="8.5703125" style="61" customWidth="1"/>
    <col min="10500" max="10500" width="11.28515625" style="61" customWidth="1"/>
    <col min="10501" max="10501" width="8.5703125" style="61" customWidth="1"/>
    <col min="10502" max="10502" width="12.5703125" style="61" customWidth="1"/>
    <col min="10503" max="10503" width="8.5703125" style="61" customWidth="1"/>
    <col min="10504" max="10504" width="12.5703125" style="61" customWidth="1"/>
    <col min="10505" max="10505" width="16" style="61" customWidth="1"/>
    <col min="10506" max="10733" width="9.140625" style="61"/>
    <col min="10734" max="10734" width="5.5703125" style="61" customWidth="1"/>
    <col min="10735" max="10735" width="40.42578125" style="61" customWidth="1"/>
    <col min="10736" max="10736" width="12.85546875" style="61" customWidth="1"/>
    <col min="10737" max="10737" width="11.85546875" style="61" customWidth="1"/>
    <col min="10738" max="10738" width="19.7109375" style="61" customWidth="1"/>
    <col min="10739" max="10739" width="20.85546875" style="61" customWidth="1"/>
    <col min="10740" max="10742" width="11.42578125" style="61" customWidth="1"/>
    <col min="10743" max="10743" width="33.42578125" style="61" customWidth="1"/>
    <col min="10744" max="10744" width="16.5703125" style="61" customWidth="1"/>
    <col min="10745" max="10746" width="38" style="61" customWidth="1"/>
    <col min="10747" max="10751" width="9.140625" style="61" customWidth="1"/>
    <col min="10752" max="10752" width="10" style="61" bestFit="1" customWidth="1"/>
    <col min="10753" max="10753" width="9.140625" style="61"/>
    <col min="10754" max="10754" width="17.85546875" style="61" customWidth="1"/>
    <col min="10755" max="10755" width="8.5703125" style="61" customWidth="1"/>
    <col min="10756" max="10756" width="11.28515625" style="61" customWidth="1"/>
    <col min="10757" max="10757" width="8.5703125" style="61" customWidth="1"/>
    <col min="10758" max="10758" width="12.5703125" style="61" customWidth="1"/>
    <col min="10759" max="10759" width="8.5703125" style="61" customWidth="1"/>
    <col min="10760" max="10760" width="12.5703125" style="61" customWidth="1"/>
    <col min="10761" max="10761" width="16" style="61" customWidth="1"/>
    <col min="10762" max="10989" width="9.140625" style="61"/>
    <col min="10990" max="10990" width="5.5703125" style="61" customWidth="1"/>
    <col min="10991" max="10991" width="40.42578125" style="61" customWidth="1"/>
    <col min="10992" max="10992" width="12.85546875" style="61" customWidth="1"/>
    <col min="10993" max="10993" width="11.85546875" style="61" customWidth="1"/>
    <col min="10994" max="10994" width="19.7109375" style="61" customWidth="1"/>
    <col min="10995" max="10995" width="20.85546875" style="61" customWidth="1"/>
    <col min="10996" max="10998" width="11.42578125" style="61" customWidth="1"/>
    <col min="10999" max="10999" width="33.42578125" style="61" customWidth="1"/>
    <col min="11000" max="11000" width="16.5703125" style="61" customWidth="1"/>
    <col min="11001" max="11002" width="38" style="61" customWidth="1"/>
    <col min="11003" max="11007" width="9.140625" style="61" customWidth="1"/>
    <col min="11008" max="11008" width="10" style="61" bestFit="1" customWidth="1"/>
    <col min="11009" max="11009" width="9.140625" style="61"/>
    <col min="11010" max="11010" width="17.85546875" style="61" customWidth="1"/>
    <col min="11011" max="11011" width="8.5703125" style="61" customWidth="1"/>
    <col min="11012" max="11012" width="11.28515625" style="61" customWidth="1"/>
    <col min="11013" max="11013" width="8.5703125" style="61" customWidth="1"/>
    <col min="11014" max="11014" width="12.5703125" style="61" customWidth="1"/>
    <col min="11015" max="11015" width="8.5703125" style="61" customWidth="1"/>
    <col min="11016" max="11016" width="12.5703125" style="61" customWidth="1"/>
    <col min="11017" max="11017" width="16" style="61" customWidth="1"/>
    <col min="11018" max="11245" width="9.140625" style="61"/>
    <col min="11246" max="11246" width="5.5703125" style="61" customWidth="1"/>
    <col min="11247" max="11247" width="40.42578125" style="61" customWidth="1"/>
    <col min="11248" max="11248" width="12.85546875" style="61" customWidth="1"/>
    <col min="11249" max="11249" width="11.85546875" style="61" customWidth="1"/>
    <col min="11250" max="11250" width="19.7109375" style="61" customWidth="1"/>
    <col min="11251" max="11251" width="20.85546875" style="61" customWidth="1"/>
    <col min="11252" max="11254" width="11.42578125" style="61" customWidth="1"/>
    <col min="11255" max="11255" width="33.42578125" style="61" customWidth="1"/>
    <col min="11256" max="11256" width="16.5703125" style="61" customWidth="1"/>
    <col min="11257" max="11258" width="38" style="61" customWidth="1"/>
    <col min="11259" max="11263" width="9.140625" style="61" customWidth="1"/>
    <col min="11264" max="11264" width="10" style="61" bestFit="1" customWidth="1"/>
    <col min="11265" max="11265" width="9.140625" style="61"/>
    <col min="11266" max="11266" width="17.85546875" style="61" customWidth="1"/>
    <col min="11267" max="11267" width="8.5703125" style="61" customWidth="1"/>
    <col min="11268" max="11268" width="11.28515625" style="61" customWidth="1"/>
    <col min="11269" max="11269" width="8.5703125" style="61" customWidth="1"/>
    <col min="11270" max="11270" width="12.5703125" style="61" customWidth="1"/>
    <col min="11271" max="11271" width="8.5703125" style="61" customWidth="1"/>
    <col min="11272" max="11272" width="12.5703125" style="61" customWidth="1"/>
    <col min="11273" max="11273" width="16" style="61" customWidth="1"/>
    <col min="11274" max="11501" width="9.140625" style="61"/>
    <col min="11502" max="11502" width="5.5703125" style="61" customWidth="1"/>
    <col min="11503" max="11503" width="40.42578125" style="61" customWidth="1"/>
    <col min="11504" max="11504" width="12.85546875" style="61" customWidth="1"/>
    <col min="11505" max="11505" width="11.85546875" style="61" customWidth="1"/>
    <col min="11506" max="11506" width="19.7109375" style="61" customWidth="1"/>
    <col min="11507" max="11507" width="20.85546875" style="61" customWidth="1"/>
    <col min="11508" max="11510" width="11.42578125" style="61" customWidth="1"/>
    <col min="11511" max="11511" width="33.42578125" style="61" customWidth="1"/>
    <col min="11512" max="11512" width="16.5703125" style="61" customWidth="1"/>
    <col min="11513" max="11514" width="38" style="61" customWidth="1"/>
    <col min="11515" max="11519" width="9.140625" style="61" customWidth="1"/>
    <col min="11520" max="11520" width="10" style="61" bestFit="1" customWidth="1"/>
    <col min="11521" max="11521" width="9.140625" style="61"/>
    <col min="11522" max="11522" width="17.85546875" style="61" customWidth="1"/>
    <col min="11523" max="11523" width="8.5703125" style="61" customWidth="1"/>
    <col min="11524" max="11524" width="11.28515625" style="61" customWidth="1"/>
    <col min="11525" max="11525" width="8.5703125" style="61" customWidth="1"/>
    <col min="11526" max="11526" width="12.5703125" style="61" customWidth="1"/>
    <col min="11527" max="11527" width="8.5703125" style="61" customWidth="1"/>
    <col min="11528" max="11528" width="12.5703125" style="61" customWidth="1"/>
    <col min="11529" max="11529" width="16" style="61" customWidth="1"/>
    <col min="11530" max="11757" width="9.140625" style="61"/>
    <col min="11758" max="11758" width="5.5703125" style="61" customWidth="1"/>
    <col min="11759" max="11759" width="40.42578125" style="61" customWidth="1"/>
    <col min="11760" max="11760" width="12.85546875" style="61" customWidth="1"/>
    <col min="11761" max="11761" width="11.85546875" style="61" customWidth="1"/>
    <col min="11762" max="11762" width="19.7109375" style="61" customWidth="1"/>
    <col min="11763" max="11763" width="20.85546875" style="61" customWidth="1"/>
    <col min="11764" max="11766" width="11.42578125" style="61" customWidth="1"/>
    <col min="11767" max="11767" width="33.42578125" style="61" customWidth="1"/>
    <col min="11768" max="11768" width="16.5703125" style="61" customWidth="1"/>
    <col min="11769" max="11770" width="38" style="61" customWidth="1"/>
    <col min="11771" max="11775" width="9.140625" style="61" customWidth="1"/>
    <col min="11776" max="11776" width="10" style="61" bestFit="1" customWidth="1"/>
    <col min="11777" max="11777" width="9.140625" style="61"/>
    <col min="11778" max="11778" width="17.85546875" style="61" customWidth="1"/>
    <col min="11779" max="11779" width="8.5703125" style="61" customWidth="1"/>
    <col min="11780" max="11780" width="11.28515625" style="61" customWidth="1"/>
    <col min="11781" max="11781" width="8.5703125" style="61" customWidth="1"/>
    <col min="11782" max="11782" width="12.5703125" style="61" customWidth="1"/>
    <col min="11783" max="11783" width="8.5703125" style="61" customWidth="1"/>
    <col min="11784" max="11784" width="12.5703125" style="61" customWidth="1"/>
    <col min="11785" max="11785" width="16" style="61" customWidth="1"/>
    <col min="11786" max="12013" width="9.140625" style="61"/>
    <col min="12014" max="12014" width="5.5703125" style="61" customWidth="1"/>
    <col min="12015" max="12015" width="40.42578125" style="61" customWidth="1"/>
    <col min="12016" max="12016" width="12.85546875" style="61" customWidth="1"/>
    <col min="12017" max="12017" width="11.85546875" style="61" customWidth="1"/>
    <col min="12018" max="12018" width="19.7109375" style="61" customWidth="1"/>
    <col min="12019" max="12019" width="20.85546875" style="61" customWidth="1"/>
    <col min="12020" max="12022" width="11.42578125" style="61" customWidth="1"/>
    <col min="12023" max="12023" width="33.42578125" style="61" customWidth="1"/>
    <col min="12024" max="12024" width="16.5703125" style="61" customWidth="1"/>
    <col min="12025" max="12026" width="38" style="61" customWidth="1"/>
    <col min="12027" max="12031" width="9.140625" style="61" customWidth="1"/>
    <col min="12032" max="12032" width="10" style="61" bestFit="1" customWidth="1"/>
    <col min="12033" max="12033" width="9.140625" style="61"/>
    <col min="12034" max="12034" width="17.85546875" style="61" customWidth="1"/>
    <col min="12035" max="12035" width="8.5703125" style="61" customWidth="1"/>
    <col min="12036" max="12036" width="11.28515625" style="61" customWidth="1"/>
    <col min="12037" max="12037" width="8.5703125" style="61" customWidth="1"/>
    <col min="12038" max="12038" width="12.5703125" style="61" customWidth="1"/>
    <col min="12039" max="12039" width="8.5703125" style="61" customWidth="1"/>
    <col min="12040" max="12040" width="12.5703125" style="61" customWidth="1"/>
    <col min="12041" max="12041" width="16" style="61" customWidth="1"/>
    <col min="12042" max="12269" width="9.140625" style="61"/>
    <col min="12270" max="12270" width="5.5703125" style="61" customWidth="1"/>
    <col min="12271" max="12271" width="40.42578125" style="61" customWidth="1"/>
    <col min="12272" max="12272" width="12.85546875" style="61" customWidth="1"/>
    <col min="12273" max="12273" width="11.85546875" style="61" customWidth="1"/>
    <col min="12274" max="12274" width="19.7109375" style="61" customWidth="1"/>
    <col min="12275" max="12275" width="20.85546875" style="61" customWidth="1"/>
    <col min="12276" max="12278" width="11.42578125" style="61" customWidth="1"/>
    <col min="12279" max="12279" width="33.42578125" style="61" customWidth="1"/>
    <col min="12280" max="12280" width="16.5703125" style="61" customWidth="1"/>
    <col min="12281" max="12282" width="38" style="61" customWidth="1"/>
    <col min="12283" max="12287" width="9.140625" style="61" customWidth="1"/>
    <col min="12288" max="12288" width="10" style="61" bestFit="1" customWidth="1"/>
    <col min="12289" max="12289" width="9.140625" style="61"/>
    <col min="12290" max="12290" width="17.85546875" style="61" customWidth="1"/>
    <col min="12291" max="12291" width="8.5703125" style="61" customWidth="1"/>
    <col min="12292" max="12292" width="11.28515625" style="61" customWidth="1"/>
    <col min="12293" max="12293" width="8.5703125" style="61" customWidth="1"/>
    <col min="12294" max="12294" width="12.5703125" style="61" customWidth="1"/>
    <col min="12295" max="12295" width="8.5703125" style="61" customWidth="1"/>
    <col min="12296" max="12296" width="12.5703125" style="61" customWidth="1"/>
    <col min="12297" max="12297" width="16" style="61" customWidth="1"/>
    <col min="12298" max="12525" width="9.140625" style="61"/>
    <col min="12526" max="12526" width="5.5703125" style="61" customWidth="1"/>
    <col min="12527" max="12527" width="40.42578125" style="61" customWidth="1"/>
    <col min="12528" max="12528" width="12.85546875" style="61" customWidth="1"/>
    <col min="12529" max="12529" width="11.85546875" style="61" customWidth="1"/>
    <col min="12530" max="12530" width="19.7109375" style="61" customWidth="1"/>
    <col min="12531" max="12531" width="20.85546875" style="61" customWidth="1"/>
    <col min="12532" max="12534" width="11.42578125" style="61" customWidth="1"/>
    <col min="12535" max="12535" width="33.42578125" style="61" customWidth="1"/>
    <col min="12536" max="12536" width="16.5703125" style="61" customWidth="1"/>
    <col min="12537" max="12538" width="38" style="61" customWidth="1"/>
    <col min="12539" max="12543" width="9.140625" style="61" customWidth="1"/>
    <col min="12544" max="12544" width="10" style="61" bestFit="1" customWidth="1"/>
    <col min="12545" max="12545" width="9.140625" style="61"/>
    <col min="12546" max="12546" width="17.85546875" style="61" customWidth="1"/>
    <col min="12547" max="12547" width="8.5703125" style="61" customWidth="1"/>
    <col min="12548" max="12548" width="11.28515625" style="61" customWidth="1"/>
    <col min="12549" max="12549" width="8.5703125" style="61" customWidth="1"/>
    <col min="12550" max="12550" width="12.5703125" style="61" customWidth="1"/>
    <col min="12551" max="12551" width="8.5703125" style="61" customWidth="1"/>
    <col min="12552" max="12552" width="12.5703125" style="61" customWidth="1"/>
    <col min="12553" max="12553" width="16" style="61" customWidth="1"/>
    <col min="12554" max="12781" width="9.140625" style="61"/>
    <col min="12782" max="12782" width="5.5703125" style="61" customWidth="1"/>
    <col min="12783" max="12783" width="40.42578125" style="61" customWidth="1"/>
    <col min="12784" max="12784" width="12.85546875" style="61" customWidth="1"/>
    <col min="12785" max="12785" width="11.85546875" style="61" customWidth="1"/>
    <col min="12786" max="12786" width="19.7109375" style="61" customWidth="1"/>
    <col min="12787" max="12787" width="20.85546875" style="61" customWidth="1"/>
    <col min="12788" max="12790" width="11.42578125" style="61" customWidth="1"/>
    <col min="12791" max="12791" width="33.42578125" style="61" customWidth="1"/>
    <col min="12792" max="12792" width="16.5703125" style="61" customWidth="1"/>
    <col min="12793" max="12794" width="38" style="61" customWidth="1"/>
    <col min="12795" max="12799" width="9.140625" style="61" customWidth="1"/>
    <col min="12800" max="12800" width="10" style="61" bestFit="1" customWidth="1"/>
    <col min="12801" max="12801" width="9.140625" style="61"/>
    <col min="12802" max="12802" width="17.85546875" style="61" customWidth="1"/>
    <col min="12803" max="12803" width="8.5703125" style="61" customWidth="1"/>
    <col min="12804" max="12804" width="11.28515625" style="61" customWidth="1"/>
    <col min="12805" max="12805" width="8.5703125" style="61" customWidth="1"/>
    <col min="12806" max="12806" width="12.5703125" style="61" customWidth="1"/>
    <col min="12807" max="12807" width="8.5703125" style="61" customWidth="1"/>
    <col min="12808" max="12808" width="12.5703125" style="61" customWidth="1"/>
    <col min="12809" max="12809" width="16" style="61" customWidth="1"/>
    <col min="12810" max="13037" width="9.140625" style="61"/>
    <col min="13038" max="13038" width="5.5703125" style="61" customWidth="1"/>
    <col min="13039" max="13039" width="40.42578125" style="61" customWidth="1"/>
    <col min="13040" max="13040" width="12.85546875" style="61" customWidth="1"/>
    <col min="13041" max="13041" width="11.85546875" style="61" customWidth="1"/>
    <col min="13042" max="13042" width="19.7109375" style="61" customWidth="1"/>
    <col min="13043" max="13043" width="20.85546875" style="61" customWidth="1"/>
    <col min="13044" max="13046" width="11.42578125" style="61" customWidth="1"/>
    <col min="13047" max="13047" width="33.42578125" style="61" customWidth="1"/>
    <col min="13048" max="13048" width="16.5703125" style="61" customWidth="1"/>
    <col min="13049" max="13050" width="38" style="61" customWidth="1"/>
    <col min="13051" max="13055" width="9.140625" style="61" customWidth="1"/>
    <col min="13056" max="13056" width="10" style="61" bestFit="1" customWidth="1"/>
    <col min="13057" max="13057" width="9.140625" style="61"/>
    <col min="13058" max="13058" width="17.85546875" style="61" customWidth="1"/>
    <col min="13059" max="13059" width="8.5703125" style="61" customWidth="1"/>
    <col min="13060" max="13060" width="11.28515625" style="61" customWidth="1"/>
    <col min="13061" max="13061" width="8.5703125" style="61" customWidth="1"/>
    <col min="13062" max="13062" width="12.5703125" style="61" customWidth="1"/>
    <col min="13063" max="13063" width="8.5703125" style="61" customWidth="1"/>
    <col min="13064" max="13064" width="12.5703125" style="61" customWidth="1"/>
    <col min="13065" max="13065" width="16" style="61" customWidth="1"/>
    <col min="13066" max="13293" width="9.140625" style="61"/>
    <col min="13294" max="13294" width="5.5703125" style="61" customWidth="1"/>
    <col min="13295" max="13295" width="40.42578125" style="61" customWidth="1"/>
    <col min="13296" max="13296" width="12.85546875" style="61" customWidth="1"/>
    <col min="13297" max="13297" width="11.85546875" style="61" customWidth="1"/>
    <col min="13298" max="13298" width="19.7109375" style="61" customWidth="1"/>
    <col min="13299" max="13299" width="20.85546875" style="61" customWidth="1"/>
    <col min="13300" max="13302" width="11.42578125" style="61" customWidth="1"/>
    <col min="13303" max="13303" width="33.42578125" style="61" customWidth="1"/>
    <col min="13304" max="13304" width="16.5703125" style="61" customWidth="1"/>
    <col min="13305" max="13306" width="38" style="61" customWidth="1"/>
    <col min="13307" max="13311" width="9.140625" style="61" customWidth="1"/>
    <col min="13312" max="13312" width="10" style="61" bestFit="1" customWidth="1"/>
    <col min="13313" max="13313" width="9.140625" style="61"/>
    <col min="13314" max="13314" width="17.85546875" style="61" customWidth="1"/>
    <col min="13315" max="13315" width="8.5703125" style="61" customWidth="1"/>
    <col min="13316" max="13316" width="11.28515625" style="61" customWidth="1"/>
    <col min="13317" max="13317" width="8.5703125" style="61" customWidth="1"/>
    <col min="13318" max="13318" width="12.5703125" style="61" customWidth="1"/>
    <col min="13319" max="13319" width="8.5703125" style="61" customWidth="1"/>
    <col min="13320" max="13320" width="12.5703125" style="61" customWidth="1"/>
    <col min="13321" max="13321" width="16" style="61" customWidth="1"/>
    <col min="13322" max="13549" width="9.140625" style="61"/>
    <col min="13550" max="13550" width="5.5703125" style="61" customWidth="1"/>
    <col min="13551" max="13551" width="40.42578125" style="61" customWidth="1"/>
    <col min="13552" max="13552" width="12.85546875" style="61" customWidth="1"/>
    <col min="13553" max="13553" width="11.85546875" style="61" customWidth="1"/>
    <col min="13554" max="13554" width="19.7109375" style="61" customWidth="1"/>
    <col min="13555" max="13555" width="20.85546875" style="61" customWidth="1"/>
    <col min="13556" max="13558" width="11.42578125" style="61" customWidth="1"/>
    <col min="13559" max="13559" width="33.42578125" style="61" customWidth="1"/>
    <col min="13560" max="13560" width="16.5703125" style="61" customWidth="1"/>
    <col min="13561" max="13562" width="38" style="61" customWidth="1"/>
    <col min="13563" max="13567" width="9.140625" style="61" customWidth="1"/>
    <col min="13568" max="13568" width="10" style="61" bestFit="1" customWidth="1"/>
    <col min="13569" max="13569" width="9.140625" style="61"/>
    <col min="13570" max="13570" width="17.85546875" style="61" customWidth="1"/>
    <col min="13571" max="13571" width="8.5703125" style="61" customWidth="1"/>
    <col min="13572" max="13572" width="11.28515625" style="61" customWidth="1"/>
    <col min="13573" max="13573" width="8.5703125" style="61" customWidth="1"/>
    <col min="13574" max="13574" width="12.5703125" style="61" customWidth="1"/>
    <col min="13575" max="13575" width="8.5703125" style="61" customWidth="1"/>
    <col min="13576" max="13576" width="12.5703125" style="61" customWidth="1"/>
    <col min="13577" max="13577" width="16" style="61" customWidth="1"/>
    <col min="13578" max="13805" width="9.140625" style="61"/>
    <col min="13806" max="13806" width="5.5703125" style="61" customWidth="1"/>
    <col min="13807" max="13807" width="40.42578125" style="61" customWidth="1"/>
    <col min="13808" max="13808" width="12.85546875" style="61" customWidth="1"/>
    <col min="13809" max="13809" width="11.85546875" style="61" customWidth="1"/>
    <col min="13810" max="13810" width="19.7109375" style="61" customWidth="1"/>
    <col min="13811" max="13811" width="20.85546875" style="61" customWidth="1"/>
    <col min="13812" max="13814" width="11.42578125" style="61" customWidth="1"/>
    <col min="13815" max="13815" width="33.42578125" style="61" customWidth="1"/>
    <col min="13816" max="13816" width="16.5703125" style="61" customWidth="1"/>
    <col min="13817" max="13818" width="38" style="61" customWidth="1"/>
    <col min="13819" max="13823" width="9.140625" style="61" customWidth="1"/>
    <col min="13824" max="13824" width="10" style="61" bestFit="1" customWidth="1"/>
    <col min="13825" max="13825" width="9.140625" style="61"/>
    <col min="13826" max="13826" width="17.85546875" style="61" customWidth="1"/>
    <col min="13827" max="13827" width="8.5703125" style="61" customWidth="1"/>
    <col min="13828" max="13828" width="11.28515625" style="61" customWidth="1"/>
    <col min="13829" max="13829" width="8.5703125" style="61" customWidth="1"/>
    <col min="13830" max="13830" width="12.5703125" style="61" customWidth="1"/>
    <col min="13831" max="13831" width="8.5703125" style="61" customWidth="1"/>
    <col min="13832" max="13832" width="12.5703125" style="61" customWidth="1"/>
    <col min="13833" max="13833" width="16" style="61" customWidth="1"/>
    <col min="13834" max="14061" width="9.140625" style="61"/>
    <col min="14062" max="14062" width="5.5703125" style="61" customWidth="1"/>
    <col min="14063" max="14063" width="40.42578125" style="61" customWidth="1"/>
    <col min="14064" max="14064" width="12.85546875" style="61" customWidth="1"/>
    <col min="14065" max="14065" width="11.85546875" style="61" customWidth="1"/>
    <col min="14066" max="14066" width="19.7109375" style="61" customWidth="1"/>
    <col min="14067" max="14067" width="20.85546875" style="61" customWidth="1"/>
    <col min="14068" max="14070" width="11.42578125" style="61" customWidth="1"/>
    <col min="14071" max="14071" width="33.42578125" style="61" customWidth="1"/>
    <col min="14072" max="14072" width="16.5703125" style="61" customWidth="1"/>
    <col min="14073" max="14074" width="38" style="61" customWidth="1"/>
    <col min="14075" max="14079" width="9.140625" style="61" customWidth="1"/>
    <col min="14080" max="14080" width="10" style="61" bestFit="1" customWidth="1"/>
    <col min="14081" max="14081" width="9.140625" style="61"/>
    <col min="14082" max="14082" width="17.85546875" style="61" customWidth="1"/>
    <col min="14083" max="14083" width="8.5703125" style="61" customWidth="1"/>
    <col min="14084" max="14084" width="11.28515625" style="61" customWidth="1"/>
    <col min="14085" max="14085" width="8.5703125" style="61" customWidth="1"/>
    <col min="14086" max="14086" width="12.5703125" style="61" customWidth="1"/>
    <col min="14087" max="14087" width="8.5703125" style="61" customWidth="1"/>
    <col min="14088" max="14088" width="12.5703125" style="61" customWidth="1"/>
    <col min="14089" max="14089" width="16" style="61" customWidth="1"/>
    <col min="14090" max="14317" width="9.140625" style="61"/>
    <col min="14318" max="14318" width="5.5703125" style="61" customWidth="1"/>
    <col min="14319" max="14319" width="40.42578125" style="61" customWidth="1"/>
    <col min="14320" max="14320" width="12.85546875" style="61" customWidth="1"/>
    <col min="14321" max="14321" width="11.85546875" style="61" customWidth="1"/>
    <col min="14322" max="14322" width="19.7109375" style="61" customWidth="1"/>
    <col min="14323" max="14323" width="20.85546875" style="61" customWidth="1"/>
    <col min="14324" max="14326" width="11.42578125" style="61" customWidth="1"/>
    <col min="14327" max="14327" width="33.42578125" style="61" customWidth="1"/>
    <col min="14328" max="14328" width="16.5703125" style="61" customWidth="1"/>
    <col min="14329" max="14330" width="38" style="61" customWidth="1"/>
    <col min="14331" max="14335" width="9.140625" style="61" customWidth="1"/>
    <col min="14336" max="14336" width="10" style="61" bestFit="1" customWidth="1"/>
    <col min="14337" max="14337" width="9.140625" style="61"/>
    <col min="14338" max="14338" width="17.85546875" style="61" customWidth="1"/>
    <col min="14339" max="14339" width="8.5703125" style="61" customWidth="1"/>
    <col min="14340" max="14340" width="11.28515625" style="61" customWidth="1"/>
    <col min="14341" max="14341" width="8.5703125" style="61" customWidth="1"/>
    <col min="14342" max="14342" width="12.5703125" style="61" customWidth="1"/>
    <col min="14343" max="14343" width="8.5703125" style="61" customWidth="1"/>
    <col min="14344" max="14344" width="12.5703125" style="61" customWidth="1"/>
    <col min="14345" max="14345" width="16" style="61" customWidth="1"/>
    <col min="14346" max="14573" width="9.140625" style="61"/>
    <col min="14574" max="14574" width="5.5703125" style="61" customWidth="1"/>
    <col min="14575" max="14575" width="40.42578125" style="61" customWidth="1"/>
    <col min="14576" max="14576" width="12.85546875" style="61" customWidth="1"/>
    <col min="14577" max="14577" width="11.85546875" style="61" customWidth="1"/>
    <col min="14578" max="14578" width="19.7109375" style="61" customWidth="1"/>
    <col min="14579" max="14579" width="20.85546875" style="61" customWidth="1"/>
    <col min="14580" max="14582" width="11.42578125" style="61" customWidth="1"/>
    <col min="14583" max="14583" width="33.42578125" style="61" customWidth="1"/>
    <col min="14584" max="14584" width="16.5703125" style="61" customWidth="1"/>
    <col min="14585" max="14586" width="38" style="61" customWidth="1"/>
    <col min="14587" max="14591" width="9.140625" style="61" customWidth="1"/>
    <col min="14592" max="14592" width="10" style="61" bestFit="1" customWidth="1"/>
    <col min="14593" max="14593" width="9.140625" style="61"/>
    <col min="14594" max="14594" width="17.85546875" style="61" customWidth="1"/>
    <col min="14595" max="14595" width="8.5703125" style="61" customWidth="1"/>
    <col min="14596" max="14596" width="11.28515625" style="61" customWidth="1"/>
    <col min="14597" max="14597" width="8.5703125" style="61" customWidth="1"/>
    <col min="14598" max="14598" width="12.5703125" style="61" customWidth="1"/>
    <col min="14599" max="14599" width="8.5703125" style="61" customWidth="1"/>
    <col min="14600" max="14600" width="12.5703125" style="61" customWidth="1"/>
    <col min="14601" max="14601" width="16" style="61" customWidth="1"/>
    <col min="14602" max="14829" width="9.140625" style="61"/>
    <col min="14830" max="14830" width="5.5703125" style="61" customWidth="1"/>
    <col min="14831" max="14831" width="40.42578125" style="61" customWidth="1"/>
    <col min="14832" max="14832" width="12.85546875" style="61" customWidth="1"/>
    <col min="14833" max="14833" width="11.85546875" style="61" customWidth="1"/>
    <col min="14834" max="14834" width="19.7109375" style="61" customWidth="1"/>
    <col min="14835" max="14835" width="20.85546875" style="61" customWidth="1"/>
    <col min="14836" max="14838" width="11.42578125" style="61" customWidth="1"/>
    <col min="14839" max="14839" width="33.42578125" style="61" customWidth="1"/>
    <col min="14840" max="14840" width="16.5703125" style="61" customWidth="1"/>
    <col min="14841" max="14842" width="38" style="61" customWidth="1"/>
    <col min="14843" max="14847" width="9.140625" style="61" customWidth="1"/>
    <col min="14848" max="14848" width="10" style="61" bestFit="1" customWidth="1"/>
    <col min="14849" max="14849" width="9.140625" style="61"/>
    <col min="14850" max="14850" width="17.85546875" style="61" customWidth="1"/>
    <col min="14851" max="14851" width="8.5703125" style="61" customWidth="1"/>
    <col min="14852" max="14852" width="11.28515625" style="61" customWidth="1"/>
    <col min="14853" max="14853" width="8.5703125" style="61" customWidth="1"/>
    <col min="14854" max="14854" width="12.5703125" style="61" customWidth="1"/>
    <col min="14855" max="14855" width="8.5703125" style="61" customWidth="1"/>
    <col min="14856" max="14856" width="12.5703125" style="61" customWidth="1"/>
    <col min="14857" max="14857" width="16" style="61" customWidth="1"/>
    <col min="14858" max="15085" width="9.140625" style="61"/>
    <col min="15086" max="15086" width="5.5703125" style="61" customWidth="1"/>
    <col min="15087" max="15087" width="40.42578125" style="61" customWidth="1"/>
    <col min="15088" max="15088" width="12.85546875" style="61" customWidth="1"/>
    <col min="15089" max="15089" width="11.85546875" style="61" customWidth="1"/>
    <col min="15090" max="15090" width="19.7109375" style="61" customWidth="1"/>
    <col min="15091" max="15091" width="20.85546875" style="61" customWidth="1"/>
    <col min="15092" max="15094" width="11.42578125" style="61" customWidth="1"/>
    <col min="15095" max="15095" width="33.42578125" style="61" customWidth="1"/>
    <col min="15096" max="15096" width="16.5703125" style="61" customWidth="1"/>
    <col min="15097" max="15098" width="38" style="61" customWidth="1"/>
    <col min="15099" max="15103" width="9.140625" style="61" customWidth="1"/>
    <col min="15104" max="15104" width="10" style="61" bestFit="1" customWidth="1"/>
    <col min="15105" max="15105" width="9.140625" style="61"/>
    <col min="15106" max="15106" width="17.85546875" style="61" customWidth="1"/>
    <col min="15107" max="15107" width="8.5703125" style="61" customWidth="1"/>
    <col min="15108" max="15108" width="11.28515625" style="61" customWidth="1"/>
    <col min="15109" max="15109" width="8.5703125" style="61" customWidth="1"/>
    <col min="15110" max="15110" width="12.5703125" style="61" customWidth="1"/>
    <col min="15111" max="15111" width="8.5703125" style="61" customWidth="1"/>
    <col min="15112" max="15112" width="12.5703125" style="61" customWidth="1"/>
    <col min="15113" max="15113" width="16" style="61" customWidth="1"/>
    <col min="15114" max="15341" width="9.140625" style="61"/>
    <col min="15342" max="15342" width="5.5703125" style="61" customWidth="1"/>
    <col min="15343" max="15343" width="40.42578125" style="61" customWidth="1"/>
    <col min="15344" max="15344" width="12.85546875" style="61" customWidth="1"/>
    <col min="15345" max="15345" width="11.85546875" style="61" customWidth="1"/>
    <col min="15346" max="15346" width="19.7109375" style="61" customWidth="1"/>
    <col min="15347" max="15347" width="20.85546875" style="61" customWidth="1"/>
    <col min="15348" max="15350" width="11.42578125" style="61" customWidth="1"/>
    <col min="15351" max="15351" width="33.42578125" style="61" customWidth="1"/>
    <col min="15352" max="15352" width="16.5703125" style="61" customWidth="1"/>
    <col min="15353" max="15354" width="38" style="61" customWidth="1"/>
    <col min="15355" max="15359" width="9.140625" style="61" customWidth="1"/>
    <col min="15360" max="15360" width="10" style="61" bestFit="1" customWidth="1"/>
    <col min="15361" max="15361" width="9.140625" style="61"/>
    <col min="15362" max="15362" width="17.85546875" style="61" customWidth="1"/>
    <col min="15363" max="15363" width="8.5703125" style="61" customWidth="1"/>
    <col min="15364" max="15364" width="11.28515625" style="61" customWidth="1"/>
    <col min="15365" max="15365" width="8.5703125" style="61" customWidth="1"/>
    <col min="15366" max="15366" width="12.5703125" style="61" customWidth="1"/>
    <col min="15367" max="15367" width="8.5703125" style="61" customWidth="1"/>
    <col min="15368" max="15368" width="12.5703125" style="61" customWidth="1"/>
    <col min="15369" max="15369" width="16" style="61" customWidth="1"/>
    <col min="15370" max="15597" width="9.140625" style="61"/>
    <col min="15598" max="15598" width="5.5703125" style="61" customWidth="1"/>
    <col min="15599" max="15599" width="40.42578125" style="61" customWidth="1"/>
    <col min="15600" max="15600" width="12.85546875" style="61" customWidth="1"/>
    <col min="15601" max="15601" width="11.85546875" style="61" customWidth="1"/>
    <col min="15602" max="15602" width="19.7109375" style="61" customWidth="1"/>
    <col min="15603" max="15603" width="20.85546875" style="61" customWidth="1"/>
    <col min="15604" max="15606" width="11.42578125" style="61" customWidth="1"/>
    <col min="15607" max="15607" width="33.42578125" style="61" customWidth="1"/>
    <col min="15608" max="15608" width="16.5703125" style="61" customWidth="1"/>
    <col min="15609" max="15610" width="38" style="61" customWidth="1"/>
    <col min="15611" max="15615" width="9.140625" style="61" customWidth="1"/>
    <col min="15616" max="15616" width="10" style="61" bestFit="1" customWidth="1"/>
    <col min="15617" max="15617" width="9.140625" style="61"/>
    <col min="15618" max="15618" width="17.85546875" style="61" customWidth="1"/>
    <col min="15619" max="15619" width="8.5703125" style="61" customWidth="1"/>
    <col min="15620" max="15620" width="11.28515625" style="61" customWidth="1"/>
    <col min="15621" max="15621" width="8.5703125" style="61" customWidth="1"/>
    <col min="15622" max="15622" width="12.5703125" style="61" customWidth="1"/>
    <col min="15623" max="15623" width="8.5703125" style="61" customWidth="1"/>
    <col min="15624" max="15624" width="12.5703125" style="61" customWidth="1"/>
    <col min="15625" max="15625" width="16" style="61" customWidth="1"/>
    <col min="15626" max="15853" width="9.140625" style="61"/>
    <col min="15854" max="15854" width="5.5703125" style="61" customWidth="1"/>
    <col min="15855" max="15855" width="40.42578125" style="61" customWidth="1"/>
    <col min="15856" max="15856" width="12.85546875" style="61" customWidth="1"/>
    <col min="15857" max="15857" width="11.85546875" style="61" customWidth="1"/>
    <col min="15858" max="15858" width="19.7109375" style="61" customWidth="1"/>
    <col min="15859" max="15859" width="20.85546875" style="61" customWidth="1"/>
    <col min="15860" max="15862" width="11.42578125" style="61" customWidth="1"/>
    <col min="15863" max="15863" width="33.42578125" style="61" customWidth="1"/>
    <col min="15864" max="15864" width="16.5703125" style="61" customWidth="1"/>
    <col min="15865" max="15866" width="38" style="61" customWidth="1"/>
    <col min="15867" max="15871" width="9.140625" style="61" customWidth="1"/>
    <col min="15872" max="15872" width="10" style="61" bestFit="1" customWidth="1"/>
    <col min="15873" max="15873" width="9.140625" style="61"/>
    <col min="15874" max="15874" width="17.85546875" style="61" customWidth="1"/>
    <col min="15875" max="15875" width="8.5703125" style="61" customWidth="1"/>
    <col min="15876" max="15876" width="11.28515625" style="61" customWidth="1"/>
    <col min="15877" max="15877" width="8.5703125" style="61" customWidth="1"/>
    <col min="15878" max="15878" width="12.5703125" style="61" customWidth="1"/>
    <col min="15879" max="15879" width="8.5703125" style="61" customWidth="1"/>
    <col min="15880" max="15880" width="12.5703125" style="61" customWidth="1"/>
    <col min="15881" max="15881" width="16" style="61" customWidth="1"/>
    <col min="15882" max="16109" width="9.140625" style="61"/>
    <col min="16110" max="16110" width="5.5703125" style="61" customWidth="1"/>
    <col min="16111" max="16111" width="40.42578125" style="61" customWidth="1"/>
    <col min="16112" max="16112" width="12.85546875" style="61" customWidth="1"/>
    <col min="16113" max="16113" width="11.85546875" style="61" customWidth="1"/>
    <col min="16114" max="16114" width="19.7109375" style="61" customWidth="1"/>
    <col min="16115" max="16115" width="20.85546875" style="61" customWidth="1"/>
    <col min="16116" max="16118" width="11.42578125" style="61" customWidth="1"/>
    <col min="16119" max="16119" width="33.42578125" style="61" customWidth="1"/>
    <col min="16120" max="16120" width="16.5703125" style="61" customWidth="1"/>
    <col min="16121" max="16122" width="38" style="61" customWidth="1"/>
    <col min="16123" max="16127" width="9.140625" style="61" customWidth="1"/>
    <col min="16128" max="16128" width="10" style="61" bestFit="1" customWidth="1"/>
    <col min="16129" max="16129" width="9.140625" style="61"/>
    <col min="16130" max="16130" width="17.85546875" style="61" customWidth="1"/>
    <col min="16131" max="16131" width="8.5703125" style="61" customWidth="1"/>
    <col min="16132" max="16132" width="11.28515625" style="61" customWidth="1"/>
    <col min="16133" max="16133" width="8.5703125" style="61" customWidth="1"/>
    <col min="16134" max="16134" width="12.5703125" style="61" customWidth="1"/>
    <col min="16135" max="16135" width="8.5703125" style="61" customWidth="1"/>
    <col min="16136" max="16136" width="12.5703125" style="61" customWidth="1"/>
    <col min="16137" max="16137" width="16" style="61" customWidth="1"/>
    <col min="16138" max="16384" width="9.140625" style="61"/>
  </cols>
  <sheetData>
    <row r="1" spans="1:39" collapsed="1" x14ac:dyDescent="0.25">
      <c r="F1" s="63"/>
      <c r="G1" s="63"/>
      <c r="H1" s="63"/>
      <c r="I1" s="63"/>
      <c r="J1" s="63"/>
    </row>
    <row r="2" spans="1:39" s="63" customFormat="1" ht="23.25" hidden="1" customHeight="1" outlineLevel="1" x14ac:dyDescent="0.25">
      <c r="A2" s="67" t="s">
        <v>136</v>
      </c>
      <c r="B2" s="68"/>
      <c r="E2" s="69"/>
      <c r="L2" s="70"/>
      <c r="M2" s="70"/>
      <c r="N2" s="71"/>
      <c r="O2" s="70"/>
      <c r="P2" s="70"/>
      <c r="Q2" s="70"/>
      <c r="R2" s="72"/>
      <c r="S2" s="73"/>
      <c r="T2" s="73"/>
      <c r="W2" s="72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</row>
    <row r="3" spans="1:39" s="74" customFormat="1" ht="15.75" hidden="1" outlineLevel="1" x14ac:dyDescent="0.2">
      <c r="A3" s="397" t="s">
        <v>137</v>
      </c>
      <c r="B3" s="398"/>
      <c r="E3" s="75"/>
      <c r="L3" s="76"/>
      <c r="M3" s="76"/>
      <c r="N3" s="77"/>
      <c r="O3" s="76"/>
      <c r="P3" s="76"/>
      <c r="Q3" s="76"/>
      <c r="S3" s="78"/>
      <c r="T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</row>
    <row r="4" spans="1:39" s="63" customFormat="1" hidden="1" outlineLevel="1" x14ac:dyDescent="0.2">
      <c r="A4" s="79" t="s">
        <v>141</v>
      </c>
      <c r="B4" s="80" t="s">
        <v>142</v>
      </c>
      <c r="E4" s="69"/>
      <c r="L4" s="70"/>
      <c r="M4" s="70"/>
      <c r="N4" s="71"/>
      <c r="O4" s="70"/>
      <c r="P4" s="70"/>
      <c r="Q4" s="70"/>
      <c r="S4" s="73"/>
      <c r="T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</row>
    <row r="5" spans="1:39" s="63" customFormat="1" hidden="1" outlineLevel="1" x14ac:dyDescent="0.2">
      <c r="A5" s="81">
        <v>51</v>
      </c>
      <c r="B5" s="82">
        <v>6860.5</v>
      </c>
      <c r="E5" s="69"/>
      <c r="L5" s="70"/>
      <c r="M5" s="70"/>
      <c r="N5" s="71"/>
      <c r="O5" s="70"/>
      <c r="P5" s="70"/>
      <c r="Q5" s="70"/>
      <c r="S5" s="73"/>
      <c r="T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</row>
    <row r="6" spans="1:39" s="63" customFormat="1" ht="15.75" hidden="1" outlineLevel="1" x14ac:dyDescent="0.2">
      <c r="A6" s="397" t="s">
        <v>138</v>
      </c>
      <c r="B6" s="398"/>
      <c r="C6" s="83"/>
      <c r="D6" s="84"/>
      <c r="E6" s="84"/>
      <c r="F6" s="84"/>
      <c r="G6" s="84"/>
      <c r="H6" s="84"/>
      <c r="I6" s="84"/>
      <c r="J6" s="84"/>
      <c r="L6" s="70"/>
      <c r="M6" s="70"/>
      <c r="N6" s="71"/>
      <c r="O6" s="70"/>
      <c r="P6" s="70"/>
      <c r="Q6" s="70"/>
      <c r="S6" s="73"/>
      <c r="T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</row>
    <row r="7" spans="1:39" s="63" customFormat="1" hidden="1" outlineLevel="1" x14ac:dyDescent="0.2">
      <c r="A7" s="79" t="s">
        <v>141</v>
      </c>
      <c r="B7" s="80" t="s">
        <v>142</v>
      </c>
      <c r="C7" s="83"/>
      <c r="D7" s="84"/>
      <c r="E7" s="84"/>
      <c r="F7" s="84"/>
      <c r="G7" s="84"/>
      <c r="H7" s="84"/>
      <c r="I7" s="84"/>
      <c r="J7" s="84"/>
      <c r="L7" s="70"/>
      <c r="M7" s="70"/>
      <c r="N7" s="71"/>
      <c r="O7" s="70"/>
      <c r="P7" s="70"/>
      <c r="Q7" s="70"/>
      <c r="S7" s="73"/>
      <c r="T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</row>
    <row r="8" spans="1:39" s="63" customFormat="1" hidden="1" outlineLevel="1" x14ac:dyDescent="0.2">
      <c r="A8" s="81">
        <v>2</v>
      </c>
      <c r="B8" s="82">
        <v>302.3</v>
      </c>
      <c r="C8" s="83"/>
      <c r="D8" s="84"/>
      <c r="E8" s="84"/>
      <c r="F8" s="84"/>
      <c r="G8" s="84"/>
      <c r="H8" s="84"/>
      <c r="I8" s="84"/>
      <c r="J8" s="84"/>
      <c r="L8" s="70"/>
      <c r="M8" s="70"/>
      <c r="N8" s="71"/>
      <c r="O8" s="70"/>
      <c r="P8" s="70"/>
      <c r="Q8" s="70"/>
      <c r="S8" s="73"/>
      <c r="T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</row>
    <row r="9" spans="1:39" s="63" customFormat="1" ht="15.75" hidden="1" outlineLevel="1" x14ac:dyDescent="0.2">
      <c r="A9" s="397" t="s">
        <v>139</v>
      </c>
      <c r="B9" s="398"/>
      <c r="D9" s="84"/>
      <c r="E9" s="84"/>
      <c r="F9" s="84"/>
      <c r="G9" s="84"/>
      <c r="H9" s="84"/>
      <c r="I9" s="84"/>
      <c r="J9" s="84"/>
      <c r="L9" s="70"/>
      <c r="M9" s="70"/>
      <c r="N9" s="71"/>
      <c r="O9" s="70"/>
      <c r="P9" s="70"/>
      <c r="Q9" s="70"/>
      <c r="S9" s="73"/>
      <c r="T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</row>
    <row r="10" spans="1:39" s="63" customFormat="1" hidden="1" outlineLevel="1" x14ac:dyDescent="0.2">
      <c r="A10" s="79" t="s">
        <v>193</v>
      </c>
      <c r="B10" s="80" t="s">
        <v>142</v>
      </c>
      <c r="D10" s="84"/>
      <c r="E10" s="84"/>
      <c r="F10" s="84"/>
      <c r="G10" s="84"/>
      <c r="H10" s="84"/>
      <c r="I10" s="84"/>
      <c r="J10" s="84"/>
      <c r="L10" s="70"/>
      <c r="M10" s="70"/>
      <c r="N10" s="71"/>
      <c r="O10" s="70"/>
      <c r="P10" s="70"/>
      <c r="Q10" s="70"/>
      <c r="S10" s="73"/>
      <c r="T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</row>
    <row r="11" spans="1:39" s="63" customFormat="1" hidden="1" outlineLevel="1" x14ac:dyDescent="0.2">
      <c r="A11" s="81">
        <v>53</v>
      </c>
      <c r="B11" s="82">
        <v>1583.8</v>
      </c>
      <c r="D11" s="84"/>
      <c r="E11" s="84"/>
      <c r="F11" s="84"/>
      <c r="G11" s="84"/>
      <c r="H11" s="84"/>
      <c r="I11" s="84"/>
      <c r="J11" s="84"/>
      <c r="L11" s="70"/>
      <c r="M11" s="70"/>
      <c r="N11" s="71"/>
      <c r="O11" s="70"/>
      <c r="P11" s="70"/>
      <c r="Q11" s="70"/>
      <c r="S11" s="73"/>
      <c r="T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</row>
    <row r="12" spans="1:39" s="63" customFormat="1" ht="15.75" hidden="1" outlineLevel="1" x14ac:dyDescent="0.2">
      <c r="A12" s="399" t="s">
        <v>194</v>
      </c>
      <c r="B12" s="400"/>
      <c r="C12" s="84"/>
      <c r="D12" s="84"/>
      <c r="E12" s="84"/>
      <c r="F12" s="84"/>
      <c r="G12" s="84"/>
      <c r="H12" s="84"/>
      <c r="I12" s="84"/>
      <c r="J12" s="84"/>
      <c r="L12" s="70"/>
      <c r="M12" s="70"/>
      <c r="N12" s="71"/>
      <c r="O12" s="70"/>
      <c r="P12" s="70"/>
      <c r="Q12" s="70"/>
      <c r="S12" s="73"/>
      <c r="T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</row>
    <row r="13" spans="1:39" s="63" customFormat="1" hidden="1" outlineLevel="1" x14ac:dyDescent="0.2">
      <c r="A13" s="79" t="s">
        <v>141</v>
      </c>
      <c r="B13" s="80" t="s">
        <v>142</v>
      </c>
      <c r="C13" s="84"/>
      <c r="D13" s="84"/>
      <c r="E13" s="84"/>
      <c r="F13" s="84"/>
      <c r="G13" s="84"/>
      <c r="H13" s="84"/>
      <c r="I13" s="84"/>
      <c r="J13" s="84"/>
      <c r="L13" s="70"/>
      <c r="M13" s="70"/>
      <c r="N13" s="71"/>
      <c r="O13" s="70"/>
      <c r="P13" s="70"/>
      <c r="Q13" s="70"/>
      <c r="S13" s="73"/>
      <c r="T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</row>
    <row r="14" spans="1:39" s="63" customFormat="1" hidden="1" outlineLevel="1" x14ac:dyDescent="0.2">
      <c r="A14" s="85">
        <f>A5+A8+A11</f>
        <v>106</v>
      </c>
      <c r="B14" s="82">
        <f>B11+B8+B5</f>
        <v>8746.6</v>
      </c>
      <c r="C14" s="84"/>
      <c r="D14" s="84"/>
      <c r="E14" s="84"/>
      <c r="F14" s="84"/>
      <c r="G14" s="84"/>
      <c r="H14" s="84"/>
      <c r="I14" s="84"/>
      <c r="J14" s="84"/>
      <c r="L14" s="70"/>
      <c r="M14" s="70"/>
      <c r="N14" s="71"/>
      <c r="O14" s="70"/>
      <c r="P14" s="70"/>
      <c r="Q14" s="70"/>
      <c r="S14" s="73"/>
      <c r="T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</row>
    <row r="15" spans="1:39" s="63" customFormat="1" ht="12.75" x14ac:dyDescent="0.2">
      <c r="A15" s="83"/>
      <c r="B15" s="84"/>
      <c r="C15" s="84"/>
      <c r="D15" s="84"/>
      <c r="E15" s="84"/>
      <c r="F15" s="84"/>
      <c r="G15" s="84"/>
      <c r="H15" s="84"/>
      <c r="I15" s="84"/>
      <c r="J15" s="84"/>
      <c r="L15" s="70"/>
      <c r="M15" s="70"/>
      <c r="N15" s="71"/>
      <c r="O15" s="70"/>
      <c r="P15" s="70"/>
      <c r="Q15" s="70"/>
      <c r="S15" s="73"/>
      <c r="T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</row>
    <row r="16" spans="1:39" s="63" customFormat="1" x14ac:dyDescent="0.2">
      <c r="A16" s="86"/>
      <c r="C16" s="86"/>
      <c r="D16" s="86"/>
      <c r="E16" s="87"/>
      <c r="L16" s="70"/>
      <c r="M16" s="70"/>
      <c r="N16" s="71"/>
      <c r="O16" s="70"/>
      <c r="P16" s="70"/>
      <c r="Q16" s="70"/>
      <c r="R16" s="88"/>
      <c r="S16" s="73"/>
      <c r="T16" s="73"/>
      <c r="V16" s="88"/>
      <c r="W16" s="88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</row>
    <row r="17" spans="1:40" s="63" customFormat="1" ht="16.5" thickBot="1" x14ac:dyDescent="0.25">
      <c r="A17" s="89" t="s">
        <v>195</v>
      </c>
      <c r="B17" s="90"/>
      <c r="C17" s="91"/>
      <c r="D17" s="91"/>
      <c r="E17" s="92"/>
      <c r="F17" s="90"/>
      <c r="G17" s="90"/>
      <c r="H17" s="90"/>
      <c r="I17" s="90"/>
      <c r="J17" s="90"/>
      <c r="L17" s="70"/>
      <c r="M17" s="70"/>
      <c r="N17" s="71"/>
      <c r="O17" s="70"/>
      <c r="P17" s="70"/>
      <c r="Q17" s="70"/>
      <c r="R17" s="90"/>
      <c r="S17" s="73"/>
      <c r="T17" s="73"/>
      <c r="U17" s="90"/>
      <c r="V17" s="90"/>
      <c r="W17" s="90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</row>
    <row r="18" spans="1:40" s="94" customFormat="1" ht="9.75" customHeight="1" x14ac:dyDescent="0.25">
      <c r="A18" s="369" t="s">
        <v>145</v>
      </c>
      <c r="B18" s="369" t="s">
        <v>196</v>
      </c>
      <c r="C18" s="369" t="s">
        <v>197</v>
      </c>
      <c r="D18" s="369" t="s">
        <v>198</v>
      </c>
      <c r="E18" s="387" t="s">
        <v>199</v>
      </c>
      <c r="F18" s="390" t="s">
        <v>200</v>
      </c>
      <c r="G18" s="391" t="s">
        <v>201</v>
      </c>
      <c r="H18" s="394" t="s">
        <v>202</v>
      </c>
      <c r="I18" s="377" t="s">
        <v>203</v>
      </c>
      <c r="J18" s="379" t="s">
        <v>204</v>
      </c>
      <c r="K18" s="382" t="s">
        <v>205</v>
      </c>
      <c r="L18" s="385" t="s">
        <v>206</v>
      </c>
      <c r="M18" s="365" t="s">
        <v>207</v>
      </c>
      <c r="N18" s="386" t="s">
        <v>302</v>
      </c>
      <c r="O18" s="365" t="s">
        <v>208</v>
      </c>
      <c r="P18" s="366" t="s">
        <v>209</v>
      </c>
      <c r="Q18" s="366" t="s">
        <v>210</v>
      </c>
      <c r="R18" s="369" t="s">
        <v>211</v>
      </c>
      <c r="S18" s="93"/>
      <c r="T18" s="93"/>
      <c r="U18" s="372" t="s">
        <v>212</v>
      </c>
      <c r="V18" s="372"/>
      <c r="W18" s="37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</row>
    <row r="19" spans="1:40" s="94" customFormat="1" ht="12.75" customHeight="1" x14ac:dyDescent="0.25">
      <c r="A19" s="370"/>
      <c r="B19" s="370"/>
      <c r="C19" s="370"/>
      <c r="D19" s="370"/>
      <c r="E19" s="388"/>
      <c r="F19" s="380"/>
      <c r="G19" s="392"/>
      <c r="H19" s="395"/>
      <c r="I19" s="378"/>
      <c r="J19" s="380"/>
      <c r="K19" s="383"/>
      <c r="L19" s="385"/>
      <c r="M19" s="365"/>
      <c r="N19" s="386"/>
      <c r="O19" s="365"/>
      <c r="P19" s="367"/>
      <c r="Q19" s="367"/>
      <c r="R19" s="370"/>
      <c r="S19" s="93"/>
      <c r="T19" s="93"/>
      <c r="U19" s="374"/>
      <c r="V19" s="374"/>
      <c r="W19" s="375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</row>
    <row r="20" spans="1:40" s="97" customFormat="1" ht="26.25" customHeight="1" x14ac:dyDescent="0.25">
      <c r="A20" s="370"/>
      <c r="B20" s="370"/>
      <c r="C20" s="370"/>
      <c r="D20" s="370"/>
      <c r="E20" s="388"/>
      <c r="F20" s="380"/>
      <c r="G20" s="392"/>
      <c r="H20" s="395"/>
      <c r="I20" s="378"/>
      <c r="J20" s="380"/>
      <c r="K20" s="383"/>
      <c r="L20" s="385"/>
      <c r="M20" s="365"/>
      <c r="N20" s="386"/>
      <c r="O20" s="365"/>
      <c r="P20" s="367"/>
      <c r="Q20" s="367"/>
      <c r="R20" s="370"/>
      <c r="S20" s="95"/>
      <c r="T20" s="95"/>
      <c r="U20" s="96" t="s">
        <v>213</v>
      </c>
      <c r="V20" s="96" t="s">
        <v>214</v>
      </c>
      <c r="W20" s="96" t="s">
        <v>215</v>
      </c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</row>
    <row r="21" spans="1:40" s="103" customFormat="1" ht="29.25" customHeight="1" outlineLevel="1" x14ac:dyDescent="0.2">
      <c r="A21" s="371"/>
      <c r="B21" s="371"/>
      <c r="C21" s="371"/>
      <c r="D21" s="371"/>
      <c r="E21" s="389"/>
      <c r="F21" s="381"/>
      <c r="G21" s="393"/>
      <c r="H21" s="396"/>
      <c r="I21" s="98" t="s">
        <v>216</v>
      </c>
      <c r="J21" s="381"/>
      <c r="K21" s="384"/>
      <c r="L21" s="99" t="s">
        <v>216</v>
      </c>
      <c r="M21" s="100" t="s">
        <v>216</v>
      </c>
      <c r="N21" s="101" t="s">
        <v>216</v>
      </c>
      <c r="O21" s="100" t="s">
        <v>216</v>
      </c>
      <c r="P21" s="368"/>
      <c r="Q21" s="368"/>
      <c r="R21" s="371"/>
      <c r="S21" s="102"/>
      <c r="T21" s="102"/>
      <c r="U21" s="98"/>
      <c r="V21" s="98"/>
      <c r="W21" s="98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</row>
    <row r="22" spans="1:40" s="114" customFormat="1" ht="21.75" customHeight="1" x14ac:dyDescent="0.25">
      <c r="A22" s="376" t="s">
        <v>308</v>
      </c>
      <c r="B22" s="376"/>
      <c r="C22" s="104"/>
      <c r="D22" s="104"/>
      <c r="E22" s="105"/>
      <c r="F22" s="106">
        <v>533192.73600000003</v>
      </c>
      <c r="G22" s="107">
        <v>0</v>
      </c>
      <c r="H22" s="108">
        <f>F22-G22</f>
        <v>533192.73600000003</v>
      </c>
      <c r="I22" s="106">
        <f>SUMIF($L$21:$O$21,$I$21,L22:O22)</f>
        <v>69179.600000000006</v>
      </c>
      <c r="J22" s="107">
        <v>5439</v>
      </c>
      <c r="K22" s="109">
        <f>H22-I22-J22</f>
        <v>458574.13600000006</v>
      </c>
      <c r="L22" s="110">
        <v>36960.800000000003</v>
      </c>
      <c r="M22" s="106">
        <v>19660.3</v>
      </c>
      <c r="N22" s="111"/>
      <c r="O22" s="106">
        <v>12558.5</v>
      </c>
      <c r="P22" s="106">
        <f>SUM(L22:O22)</f>
        <v>69179.600000000006</v>
      </c>
      <c r="Q22" s="106">
        <f>P22-H22</f>
        <v>-464013.13600000006</v>
      </c>
      <c r="R22" s="112" t="s">
        <v>217</v>
      </c>
      <c r="S22" s="93"/>
      <c r="T22" s="93"/>
      <c r="U22" s="113">
        <v>5.08</v>
      </c>
      <c r="V22" s="113">
        <v>151.80573584905659</v>
      </c>
      <c r="W22" s="113">
        <v>5.08</v>
      </c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</row>
    <row r="23" spans="1:40" s="127" customFormat="1" ht="19.5" customHeight="1" x14ac:dyDescent="0.25">
      <c r="A23" s="354" t="s">
        <v>218</v>
      </c>
      <c r="B23" s="354"/>
      <c r="C23" s="115"/>
      <c r="D23" s="115"/>
      <c r="E23" s="116"/>
      <c r="F23" s="117">
        <f>F24+F34+F35+F41+F46+F47+F57+F58+F61+F64</f>
        <v>8439980.6498782672</v>
      </c>
      <c r="G23" s="118">
        <v>0</v>
      </c>
      <c r="H23" s="119">
        <f>H24+H34+H35+H41+H46+H47+H57+H58+H61+H64</f>
        <v>8439980.6498782672</v>
      </c>
      <c r="I23" s="117">
        <f t="shared" ref="I23:M23" si="0">I24+I34+I35+I41+I46+I47+I57+I58+I61+I64</f>
        <v>7783208.3799999999</v>
      </c>
      <c r="J23" s="118"/>
      <c r="K23" s="120">
        <f t="shared" si="0"/>
        <v>656772.26987826615</v>
      </c>
      <c r="L23" s="121">
        <f t="shared" si="0"/>
        <v>6054325.3799999999</v>
      </c>
      <c r="M23" s="117">
        <f t="shared" si="0"/>
        <v>910404.65</v>
      </c>
      <c r="N23" s="122"/>
      <c r="O23" s="117">
        <f>O24+O34+O35+O41+O46+O47+O57+O58+O61+O64</f>
        <v>818478.35</v>
      </c>
      <c r="P23" s="117">
        <f t="shared" ref="P23:Q23" si="1">P24+P34+P35+P41+P46+P47+P57+P58+P61+P64</f>
        <v>7783208.3799999999</v>
      </c>
      <c r="Q23" s="117">
        <f t="shared" si="1"/>
        <v>-656772.26987826615</v>
      </c>
      <c r="R23" s="123"/>
      <c r="S23" s="124"/>
      <c r="T23" s="125"/>
      <c r="U23" s="123">
        <v>79.59426753198143</v>
      </c>
      <c r="V23" s="123">
        <v>3025.1770041761565</v>
      </c>
      <c r="W23" s="123">
        <v>72.878330275129827</v>
      </c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6"/>
    </row>
    <row r="24" spans="1:40" s="103" customFormat="1" ht="21.75" customHeight="1" outlineLevel="1" x14ac:dyDescent="0.2">
      <c r="A24" s="128">
        <v>1</v>
      </c>
      <c r="B24" s="129" t="s">
        <v>219</v>
      </c>
      <c r="C24" s="128"/>
      <c r="D24" s="128"/>
      <c r="E24" s="130"/>
      <c r="F24" s="131">
        <f>F25+F26+F27+F28+F29+F30</f>
        <v>1022304</v>
      </c>
      <c r="G24" s="132">
        <v>0</v>
      </c>
      <c r="H24" s="133">
        <f>H25+H26+H27+H28+H29+H30</f>
        <v>1022304</v>
      </c>
      <c r="I24" s="131">
        <f>I25+I26+I27+I28+I29+I30</f>
        <v>767676</v>
      </c>
      <c r="J24" s="132"/>
      <c r="K24" s="134">
        <f>K25+K26+K27+K28+K29+K30</f>
        <v>254628</v>
      </c>
      <c r="L24" s="135">
        <f t="shared" ref="L24:Q24" si="2">L25+L26+L27+L28+L29+L30</f>
        <v>599662</v>
      </c>
      <c r="M24" s="131">
        <f t="shared" si="2"/>
        <v>25000</v>
      </c>
      <c r="N24" s="136"/>
      <c r="O24" s="131">
        <f t="shared" si="2"/>
        <v>143014</v>
      </c>
      <c r="P24" s="131">
        <f t="shared" si="2"/>
        <v>767676</v>
      </c>
      <c r="Q24" s="131">
        <f t="shared" si="2"/>
        <v>-254628</v>
      </c>
      <c r="R24" s="137"/>
      <c r="S24" s="102"/>
      <c r="T24" s="125"/>
      <c r="U24" s="137">
        <v>9.2835430596611097</v>
      </c>
      <c r="V24" s="137">
        <v>345.11364634235116</v>
      </c>
      <c r="W24" s="137">
        <v>10.622658230401404</v>
      </c>
      <c r="X24" s="138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</row>
    <row r="25" spans="1:40" s="152" customFormat="1" ht="15.75" customHeight="1" outlineLevel="2" x14ac:dyDescent="0.2">
      <c r="A25" s="139" t="s">
        <v>153</v>
      </c>
      <c r="B25" s="140" t="s">
        <v>220</v>
      </c>
      <c r="C25" s="140" t="s">
        <v>369</v>
      </c>
      <c r="D25" s="140" t="s">
        <v>221</v>
      </c>
      <c r="E25" s="141">
        <v>25000</v>
      </c>
      <c r="F25" s="142">
        <v>300000</v>
      </c>
      <c r="G25" s="143">
        <v>0</v>
      </c>
      <c r="H25" s="144">
        <f t="shared" ref="H25:H29" si="3">F25-G25</f>
        <v>300000</v>
      </c>
      <c r="I25" s="142">
        <f>SUMIF($L$21:$O$21,$I$21,L25:O25)</f>
        <v>300000</v>
      </c>
      <c r="J25" s="143"/>
      <c r="K25" s="145">
        <f>H25-I25-J25</f>
        <v>0</v>
      </c>
      <c r="L25" s="146">
        <v>250000</v>
      </c>
      <c r="M25" s="147">
        <v>25000</v>
      </c>
      <c r="N25" s="148"/>
      <c r="O25" s="142">
        <v>25000</v>
      </c>
      <c r="P25" s="147">
        <f>SUM(L25:O25)</f>
        <v>300000</v>
      </c>
      <c r="Q25" s="147">
        <f>P25-H25</f>
        <v>0</v>
      </c>
      <c r="R25" s="149"/>
      <c r="S25" s="150"/>
      <c r="T25" s="151"/>
      <c r="U25" s="149">
        <v>2.8582534927857681</v>
      </c>
      <c r="V25" s="149">
        <v>85.413243054228289</v>
      </c>
      <c r="W25" s="149">
        <v>2.8582534927857681</v>
      </c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</row>
    <row r="26" spans="1:40" s="152" customFormat="1" ht="15.75" customHeight="1" outlineLevel="2" x14ac:dyDescent="0.2">
      <c r="A26" s="153" t="s">
        <v>155</v>
      </c>
      <c r="B26" s="154" t="s">
        <v>304</v>
      </c>
      <c r="C26" s="154"/>
      <c r="D26" s="154"/>
      <c r="E26" s="155"/>
      <c r="F26" s="156">
        <v>215400</v>
      </c>
      <c r="G26" s="157">
        <v>0</v>
      </c>
      <c r="H26" s="158">
        <f t="shared" si="3"/>
        <v>215400</v>
      </c>
      <c r="I26" s="156">
        <f>SUMIF($L$21:$O$21,$I$21,L26:O26)</f>
        <v>2832</v>
      </c>
      <c r="J26" s="157"/>
      <c r="K26" s="159">
        <f>H26-I26-J26</f>
        <v>212568</v>
      </c>
      <c r="L26" s="160">
        <v>2832</v>
      </c>
      <c r="M26" s="156">
        <v>0</v>
      </c>
      <c r="N26" s="161"/>
      <c r="O26" s="156">
        <v>0</v>
      </c>
      <c r="P26" s="156">
        <f>SUM(L26:O26)</f>
        <v>2832</v>
      </c>
      <c r="Q26" s="156">
        <f>P26-H26</f>
        <v>-212568</v>
      </c>
      <c r="R26" s="162"/>
      <c r="S26" s="163"/>
      <c r="T26" s="151"/>
      <c r="U26" s="149">
        <v>1.8387110094817443</v>
      </c>
      <c r="V26" s="149">
        <v>79.21907339993777</v>
      </c>
      <c r="W26" s="149">
        <v>3.7608740630294148</v>
      </c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</row>
    <row r="27" spans="1:40" s="152" customFormat="1" ht="27" customHeight="1" outlineLevel="2" x14ac:dyDescent="0.2">
      <c r="A27" s="139" t="s">
        <v>156</v>
      </c>
      <c r="B27" s="164" t="s">
        <v>222</v>
      </c>
      <c r="C27" s="164" t="s">
        <v>370</v>
      </c>
      <c r="D27" s="164" t="s">
        <v>223</v>
      </c>
      <c r="E27" s="141">
        <v>25000</v>
      </c>
      <c r="F27" s="142">
        <v>300000</v>
      </c>
      <c r="G27" s="143">
        <v>0</v>
      </c>
      <c r="H27" s="144">
        <f t="shared" si="3"/>
        <v>300000</v>
      </c>
      <c r="I27" s="142">
        <f>SUMIF($L$21:$O$21,$I$21,L27:O27)</f>
        <v>313830</v>
      </c>
      <c r="J27" s="143"/>
      <c r="K27" s="145">
        <f>H27-I27-J27</f>
        <v>-13830</v>
      </c>
      <c r="L27" s="146">
        <f>225000+13830</f>
        <v>238830</v>
      </c>
      <c r="M27" s="147">
        <v>0</v>
      </c>
      <c r="N27" s="148"/>
      <c r="O27" s="142">
        <f>25000+25000+25000</f>
        <v>75000</v>
      </c>
      <c r="P27" s="147">
        <f>SUM(L27:O27)</f>
        <v>313830</v>
      </c>
      <c r="Q27" s="147">
        <f>P27-H27</f>
        <v>13830</v>
      </c>
      <c r="R27" s="149"/>
      <c r="S27" s="163"/>
      <c r="T27" s="151"/>
      <c r="U27" s="149">
        <v>2.8582534927857681</v>
      </c>
      <c r="V27" s="149">
        <v>85.413243054228289</v>
      </c>
      <c r="W27" s="149">
        <v>2.8582534927857681</v>
      </c>
      <c r="X27" s="165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</row>
    <row r="28" spans="1:40" s="152" customFormat="1" ht="26.25" customHeight="1" outlineLevel="2" x14ac:dyDescent="0.2">
      <c r="A28" s="139" t="s">
        <v>157</v>
      </c>
      <c r="B28" s="164" t="s">
        <v>224</v>
      </c>
      <c r="C28" s="164" t="s">
        <v>371</v>
      </c>
      <c r="D28" s="164" t="s">
        <v>225</v>
      </c>
      <c r="E28" s="141">
        <v>4000</v>
      </c>
      <c r="F28" s="142">
        <v>48000</v>
      </c>
      <c r="G28" s="143">
        <v>0</v>
      </c>
      <c r="H28" s="144">
        <f t="shared" si="3"/>
        <v>48000</v>
      </c>
      <c r="I28" s="142">
        <f>SUMIF($L$21:$O$21,$I$21,L28:O28)</f>
        <v>48000</v>
      </c>
      <c r="J28" s="143"/>
      <c r="K28" s="145">
        <f>H28-I28-J28</f>
        <v>0</v>
      </c>
      <c r="L28" s="146">
        <v>36000</v>
      </c>
      <c r="M28" s="147">
        <v>0</v>
      </c>
      <c r="N28" s="148"/>
      <c r="O28" s="142">
        <v>12000</v>
      </c>
      <c r="P28" s="147">
        <f>SUM(L28:O28)</f>
        <v>48000</v>
      </c>
      <c r="Q28" s="147">
        <f>P28-H28</f>
        <v>0</v>
      </c>
      <c r="R28" s="149"/>
      <c r="S28" s="163"/>
      <c r="T28" s="151"/>
      <c r="U28" s="149">
        <v>0.58304788280737552</v>
      </c>
      <c r="V28" s="149">
        <v>0</v>
      </c>
      <c r="W28" s="149">
        <v>0</v>
      </c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</row>
    <row r="29" spans="1:40" s="152" customFormat="1" ht="21" customHeight="1" outlineLevel="2" x14ac:dyDescent="0.2">
      <c r="A29" s="153" t="s">
        <v>158</v>
      </c>
      <c r="B29" s="166" t="s">
        <v>40</v>
      </c>
      <c r="C29" s="166" t="s">
        <v>372</v>
      </c>
      <c r="D29" s="166" t="s">
        <v>226</v>
      </c>
      <c r="E29" s="167">
        <v>3333.3333333333335</v>
      </c>
      <c r="F29" s="156">
        <v>40000</v>
      </c>
      <c r="G29" s="157">
        <v>0</v>
      </c>
      <c r="H29" s="158">
        <f t="shared" si="3"/>
        <v>40000</v>
      </c>
      <c r="I29" s="156">
        <f>SUMIF($L$21:$O$21,$I$21,L29:O29)</f>
        <v>0</v>
      </c>
      <c r="J29" s="157"/>
      <c r="K29" s="159">
        <f>H29-I29-J29</f>
        <v>40000</v>
      </c>
      <c r="L29" s="160">
        <v>0</v>
      </c>
      <c r="M29" s="156">
        <v>0</v>
      </c>
      <c r="N29" s="161"/>
      <c r="O29" s="156">
        <v>0</v>
      </c>
      <c r="P29" s="156">
        <f>SUM(L29:O29)</f>
        <v>0</v>
      </c>
      <c r="Q29" s="156">
        <f>P29-H29</f>
        <v>-40000</v>
      </c>
      <c r="R29" s="162" t="s">
        <v>227</v>
      </c>
      <c r="S29" s="163"/>
      <c r="T29" s="151"/>
      <c r="U29" s="149">
        <v>0</v>
      </c>
      <c r="V29" s="149">
        <v>62.893081761006293</v>
      </c>
      <c r="W29" s="149">
        <v>0</v>
      </c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</row>
    <row r="30" spans="1:40" s="152" customFormat="1" ht="21.75" customHeight="1" outlineLevel="2" collapsed="1" x14ac:dyDescent="0.2">
      <c r="A30" s="153" t="s">
        <v>159</v>
      </c>
      <c r="B30" s="166" t="s">
        <v>28</v>
      </c>
      <c r="C30" s="166" t="s">
        <v>95</v>
      </c>
      <c r="D30" s="166" t="s">
        <v>231</v>
      </c>
      <c r="E30" s="168"/>
      <c r="F30" s="156">
        <v>118904</v>
      </c>
      <c r="G30" s="157">
        <v>0</v>
      </c>
      <c r="H30" s="158">
        <f>SUM(H31:H33)</f>
        <v>118904</v>
      </c>
      <c r="I30" s="156">
        <f>SUM(I31:I33)</f>
        <v>103014</v>
      </c>
      <c r="J30" s="157"/>
      <c r="K30" s="159">
        <f t="shared" ref="K30:Q30" si="4">SUM(K31:K33)</f>
        <v>15890</v>
      </c>
      <c r="L30" s="160">
        <f t="shared" si="4"/>
        <v>72000</v>
      </c>
      <c r="M30" s="156">
        <f t="shared" si="4"/>
        <v>0</v>
      </c>
      <c r="N30" s="161"/>
      <c r="O30" s="156">
        <f t="shared" si="4"/>
        <v>31014</v>
      </c>
      <c r="P30" s="156">
        <f t="shared" si="4"/>
        <v>103014</v>
      </c>
      <c r="Q30" s="156">
        <f t="shared" si="4"/>
        <v>-15890</v>
      </c>
      <c r="R30" s="162"/>
      <c r="S30" s="163"/>
      <c r="T30" s="151"/>
      <c r="U30" s="149">
        <v>1.1452771818004535</v>
      </c>
      <c r="V30" s="149">
        <v>32.175005072950533</v>
      </c>
      <c r="W30" s="149">
        <v>1.1452771818004535</v>
      </c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</row>
    <row r="31" spans="1:40" s="63" customFormat="1" ht="21.75" hidden="1" customHeight="1" outlineLevel="3" x14ac:dyDescent="0.2">
      <c r="A31" s="169" t="s">
        <v>228</v>
      </c>
      <c r="B31" s="170" t="s">
        <v>229</v>
      </c>
      <c r="C31" s="170" t="s">
        <v>230</v>
      </c>
      <c r="D31" s="170" t="s">
        <v>231</v>
      </c>
      <c r="E31" s="171">
        <v>8000</v>
      </c>
      <c r="F31" s="172">
        <v>96000</v>
      </c>
      <c r="G31" s="173">
        <v>0</v>
      </c>
      <c r="H31" s="174">
        <f t="shared" ref="H31:H34" si="5">F31-G31</f>
        <v>96000</v>
      </c>
      <c r="I31" s="172">
        <f>SUMIF($L$21:$O$21,$I$21,L31:O31)</f>
        <v>96000</v>
      </c>
      <c r="J31" s="173"/>
      <c r="K31" s="175">
        <f>H31-I31-J31</f>
        <v>0</v>
      </c>
      <c r="L31" s="176">
        <v>72000</v>
      </c>
      <c r="M31" s="177">
        <v>0</v>
      </c>
      <c r="N31" s="178"/>
      <c r="O31" s="177">
        <v>24000</v>
      </c>
      <c r="P31" s="177">
        <f>SUM(L31:O31)</f>
        <v>96000</v>
      </c>
      <c r="Q31" s="177">
        <f>P31-H31</f>
        <v>0</v>
      </c>
      <c r="R31" s="179" t="s">
        <v>232</v>
      </c>
      <c r="T31" s="180"/>
      <c r="U31" s="179">
        <v>0.91464111769144574</v>
      </c>
      <c r="V31" s="179">
        <v>27.33223777735305</v>
      </c>
      <c r="W31" s="179">
        <v>0.91464111769144574</v>
      </c>
    </row>
    <row r="32" spans="1:40" s="63" customFormat="1" ht="24.75" hidden="1" customHeight="1" outlineLevel="3" x14ac:dyDescent="0.2">
      <c r="A32" s="170" t="s">
        <v>233</v>
      </c>
      <c r="B32" s="170" t="s">
        <v>234</v>
      </c>
      <c r="C32" s="170"/>
      <c r="D32" s="170"/>
      <c r="E32" s="181"/>
      <c r="F32" s="172">
        <v>3080</v>
      </c>
      <c r="G32" s="173">
        <v>0</v>
      </c>
      <c r="H32" s="174">
        <f t="shared" si="5"/>
        <v>3080</v>
      </c>
      <c r="I32" s="172">
        <f>SUMIF($L$21:$O$21,$I$21,L32:O32)</f>
        <v>0</v>
      </c>
      <c r="J32" s="173"/>
      <c r="K32" s="175">
        <f>H32-I32-J32</f>
        <v>3080</v>
      </c>
      <c r="L32" s="176">
        <v>0</v>
      </c>
      <c r="M32" s="177">
        <v>0</v>
      </c>
      <c r="N32" s="178"/>
      <c r="O32" s="177">
        <v>0</v>
      </c>
      <c r="P32" s="177">
        <f t="shared" ref="P32:P33" si="6">SUM(L32:O32)</f>
        <v>0</v>
      </c>
      <c r="Q32" s="177">
        <f>P32-H32</f>
        <v>-3080</v>
      </c>
      <c r="R32" s="179" t="s">
        <v>235</v>
      </c>
      <c r="T32" s="180"/>
      <c r="U32" s="179">
        <v>0</v>
      </c>
      <c r="V32" s="179">
        <v>4.8427672955974845</v>
      </c>
      <c r="W32" s="179">
        <v>0</v>
      </c>
    </row>
    <row r="33" spans="1:34" s="63" customFormat="1" ht="19.5" hidden="1" customHeight="1" outlineLevel="3" x14ac:dyDescent="0.2">
      <c r="A33" s="169" t="s">
        <v>236</v>
      </c>
      <c r="B33" s="170" t="s">
        <v>237</v>
      </c>
      <c r="C33" s="170"/>
      <c r="D33" s="170"/>
      <c r="E33" s="181"/>
      <c r="F33" s="172">
        <v>19824</v>
      </c>
      <c r="G33" s="173">
        <v>0</v>
      </c>
      <c r="H33" s="174">
        <f t="shared" si="5"/>
        <v>19824</v>
      </c>
      <c r="I33" s="172">
        <f>SUMIF($L$21:$O$21,$I$21,L33:O33)</f>
        <v>7014</v>
      </c>
      <c r="J33" s="173"/>
      <c r="K33" s="175">
        <f>H33-I33-J33</f>
        <v>12810</v>
      </c>
      <c r="L33" s="176">
        <v>0</v>
      </c>
      <c r="M33" s="177">
        <v>0</v>
      </c>
      <c r="N33" s="178"/>
      <c r="O33" s="177">
        <v>7014</v>
      </c>
      <c r="P33" s="177">
        <f t="shared" si="6"/>
        <v>7014</v>
      </c>
      <c r="Q33" s="177">
        <f>P33-H33</f>
        <v>-12810</v>
      </c>
      <c r="R33" s="179" t="s">
        <v>235</v>
      </c>
      <c r="T33" s="180"/>
      <c r="U33" s="179">
        <v>0.23063606410900764</v>
      </c>
      <c r="V33" s="179">
        <v>0</v>
      </c>
      <c r="W33" s="179">
        <v>0.23063606410900764</v>
      </c>
    </row>
    <row r="34" spans="1:34" s="192" customFormat="1" ht="28.5" customHeight="1" outlineLevel="1" x14ac:dyDescent="0.2">
      <c r="A34" s="182">
        <v>2</v>
      </c>
      <c r="B34" s="183" t="s">
        <v>17</v>
      </c>
      <c r="C34" s="182" t="s">
        <v>373</v>
      </c>
      <c r="D34" s="182" t="s">
        <v>238</v>
      </c>
      <c r="E34" s="184">
        <v>7716.3</v>
      </c>
      <c r="F34" s="185">
        <v>92595.6</v>
      </c>
      <c r="G34" s="186">
        <v>0</v>
      </c>
      <c r="H34" s="187">
        <f t="shared" si="5"/>
        <v>92595.6</v>
      </c>
      <c r="I34" s="185">
        <f>SUMIF($L$21:$O$21,$I$21,L34:O34)</f>
        <v>89857.56</v>
      </c>
      <c r="J34" s="186"/>
      <c r="K34" s="188">
        <f>H34-I34-J34</f>
        <v>2738.0400000000081</v>
      </c>
      <c r="L34" s="189">
        <v>69446.7</v>
      </c>
      <c r="M34" s="185">
        <f>7716.3+7716.3</f>
        <v>15432.6</v>
      </c>
      <c r="N34" s="190"/>
      <c r="O34" s="185">
        <v>4978.26</v>
      </c>
      <c r="P34" s="185">
        <f>SUM(L34:O34)</f>
        <v>89857.56</v>
      </c>
      <c r="Q34" s="185">
        <f>P34-H34</f>
        <v>-2738.0400000000081</v>
      </c>
      <c r="R34" s="191"/>
      <c r="S34" s="68"/>
      <c r="T34" s="125"/>
      <c r="U34" s="137">
        <v>0.88</v>
      </c>
      <c r="V34" s="137">
        <v>26.36</v>
      </c>
      <c r="W34" s="137">
        <v>0.88</v>
      </c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</row>
    <row r="35" spans="1:34" s="192" customFormat="1" ht="16.5" customHeight="1" outlineLevel="1" x14ac:dyDescent="0.2">
      <c r="A35" s="182">
        <v>3</v>
      </c>
      <c r="B35" s="183" t="s">
        <v>169</v>
      </c>
      <c r="C35" s="183"/>
      <c r="D35" s="183"/>
      <c r="E35" s="193"/>
      <c r="F35" s="185">
        <f>SUM(F36:F40)</f>
        <v>459213.30054493336</v>
      </c>
      <c r="G35" s="186">
        <v>0</v>
      </c>
      <c r="H35" s="187">
        <f>SUM(H36:H40)</f>
        <v>459213.30054493336</v>
      </c>
      <c r="I35" s="185">
        <f>SUM(I36:I40)</f>
        <v>442481.23</v>
      </c>
      <c r="J35" s="186"/>
      <c r="K35" s="188">
        <f>SUM(K36:K40)</f>
        <v>16732.070544933344</v>
      </c>
      <c r="L35" s="189">
        <f t="shared" ref="L35:M35" si="7">SUM(L36:L40)</f>
        <v>316214.58999999997</v>
      </c>
      <c r="M35" s="185">
        <f t="shared" si="7"/>
        <v>56286.64</v>
      </c>
      <c r="N35" s="190"/>
      <c r="O35" s="185">
        <f>SUM(O36:O40)</f>
        <v>69980</v>
      </c>
      <c r="P35" s="185">
        <f>SUM(P36:P40)</f>
        <v>442481.23</v>
      </c>
      <c r="Q35" s="185">
        <f>SUM(Q36:Q40)</f>
        <v>-16732.070544933344</v>
      </c>
      <c r="R35" s="191"/>
      <c r="S35" s="68"/>
      <c r="T35" s="125"/>
      <c r="U35" s="137">
        <v>3.3105028604092381</v>
      </c>
      <c r="V35" s="137">
        <v>302.42060992759286</v>
      </c>
      <c r="W35" s="137">
        <v>0</v>
      </c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</row>
    <row r="36" spans="1:34" s="152" customFormat="1" ht="18.75" customHeight="1" outlineLevel="2" x14ac:dyDescent="0.2">
      <c r="A36" s="139" t="s">
        <v>239</v>
      </c>
      <c r="B36" s="164" t="s">
        <v>240</v>
      </c>
      <c r="C36" s="355" t="s">
        <v>374</v>
      </c>
      <c r="D36" s="355" t="s">
        <v>241</v>
      </c>
      <c r="E36" s="356">
        <v>34990</v>
      </c>
      <c r="F36" s="142">
        <f>[3]тарифы_2016!P30</f>
        <v>244416.04320000001</v>
      </c>
      <c r="G36" s="143">
        <v>0</v>
      </c>
      <c r="H36" s="144">
        <f t="shared" ref="H36:H40" si="8">F36-G36</f>
        <v>244416.04320000001</v>
      </c>
      <c r="I36" s="142">
        <f>SUMIF($L$21:$O$21,$I$21,L36:O36)</f>
        <v>242720.71</v>
      </c>
      <c r="J36" s="143"/>
      <c r="K36" s="194">
        <f>H36-I36-J36</f>
        <v>1695.3332000000228</v>
      </c>
      <c r="L36" s="195">
        <f>20368.01*8+(20368.01-1695.41)</f>
        <v>181616.68</v>
      </c>
      <c r="M36" s="142">
        <v>20368.009999999998</v>
      </c>
      <c r="N36" s="196"/>
      <c r="O36" s="142">
        <f>20368.01+20368.01</f>
        <v>40736.019999999997</v>
      </c>
      <c r="P36" s="142">
        <f>SUM(L36:O36)</f>
        <v>242720.71</v>
      </c>
      <c r="Q36" s="142">
        <f>P36-H36</f>
        <v>-1695.3332000000228</v>
      </c>
      <c r="R36" s="149"/>
      <c r="S36" s="163"/>
      <c r="T36" s="151"/>
      <c r="U36" s="149">
        <v>2.9688803439982507</v>
      </c>
      <c r="V36" s="149">
        <v>0</v>
      </c>
      <c r="W36" s="149">
        <v>0</v>
      </c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</row>
    <row r="37" spans="1:34" s="152" customFormat="1" ht="18.75" customHeight="1" outlineLevel="2" x14ac:dyDescent="0.2">
      <c r="A37" s="139" t="s">
        <v>242</v>
      </c>
      <c r="B37" s="164" t="s">
        <v>243</v>
      </c>
      <c r="C37" s="355"/>
      <c r="D37" s="355"/>
      <c r="E37" s="356"/>
      <c r="F37" s="142">
        <f>[3]тарифы_2016!P31</f>
        <v>175463.92319999999</v>
      </c>
      <c r="G37" s="143">
        <v>0</v>
      </c>
      <c r="H37" s="144">
        <f t="shared" si="8"/>
        <v>175463.92319999999</v>
      </c>
      <c r="I37" s="142">
        <f>SUMIF($L$21:$O$21,$I$21,L37:O37)</f>
        <v>175463.88</v>
      </c>
      <c r="J37" s="143"/>
      <c r="K37" s="194">
        <f>H37-I37-J37</f>
        <v>4.3199999985517934E-2</v>
      </c>
      <c r="L37" s="195">
        <f>14621.99*9</f>
        <v>131597.91</v>
      </c>
      <c r="M37" s="142">
        <v>14621.99</v>
      </c>
      <c r="N37" s="196"/>
      <c r="O37" s="142">
        <f>14621.99+14621.99</f>
        <v>29243.98</v>
      </c>
      <c r="P37" s="142">
        <f>SUM(L37:O37)</f>
        <v>175463.88</v>
      </c>
      <c r="Q37" s="142">
        <f>P37-H37</f>
        <v>-4.3199999985517934E-2</v>
      </c>
      <c r="R37" s="149"/>
      <c r="S37" s="163"/>
      <c r="T37" s="151"/>
      <c r="U37" s="149">
        <v>0</v>
      </c>
      <c r="V37" s="149">
        <v>275.88667169811322</v>
      </c>
      <c r="W37" s="149">
        <v>0</v>
      </c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</row>
    <row r="38" spans="1:34" s="152" customFormat="1" ht="18.75" customHeight="1" outlineLevel="2" x14ac:dyDescent="0.2">
      <c r="A38" s="139" t="s">
        <v>244</v>
      </c>
      <c r="B38" s="164" t="s">
        <v>245</v>
      </c>
      <c r="C38" s="164"/>
      <c r="D38" s="164"/>
      <c r="E38" s="197"/>
      <c r="F38" s="142">
        <f>[3]тарифы_2016!P32</f>
        <v>17333.334137333335</v>
      </c>
      <c r="G38" s="143">
        <v>0</v>
      </c>
      <c r="H38" s="144">
        <f t="shared" si="8"/>
        <v>17333.334137333335</v>
      </c>
      <c r="I38" s="142">
        <f>SUMIF($L$21:$O$21,$I$21,L38:O38)</f>
        <v>10648.32</v>
      </c>
      <c r="J38" s="143"/>
      <c r="K38" s="194">
        <f>H38-I38-J38</f>
        <v>6685.0141373333354</v>
      </c>
      <c r="L38" s="195">
        <v>0</v>
      </c>
      <c r="M38" s="142">
        <f>21296.64*0.5</f>
        <v>10648.32</v>
      </c>
      <c r="N38" s="196"/>
      <c r="O38" s="142">
        <v>0</v>
      </c>
      <c r="P38" s="142">
        <f t="shared" ref="P38:P39" si="9">SUM(L38:O38)</f>
        <v>10648.32</v>
      </c>
      <c r="Q38" s="142">
        <f>P38-H38</f>
        <v>-6685.0141373333354</v>
      </c>
      <c r="R38" s="149" t="s">
        <v>246</v>
      </c>
      <c r="S38" s="163"/>
      <c r="T38" s="151"/>
      <c r="U38" s="149">
        <v>0.24293661783640649</v>
      </c>
      <c r="V38" s="149">
        <v>0</v>
      </c>
      <c r="W38" s="149">
        <v>0</v>
      </c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</row>
    <row r="39" spans="1:34" s="152" customFormat="1" ht="18.75" customHeight="1" outlineLevel="2" x14ac:dyDescent="0.2">
      <c r="A39" s="139" t="s">
        <v>247</v>
      </c>
      <c r="B39" s="164" t="s">
        <v>248</v>
      </c>
      <c r="C39" s="164"/>
      <c r="D39" s="164"/>
      <c r="E39" s="197"/>
      <c r="F39" s="142">
        <f>[3]тарифы_2016!P33</f>
        <v>12000.0000076</v>
      </c>
      <c r="G39" s="143">
        <v>0</v>
      </c>
      <c r="H39" s="144">
        <f t="shared" si="8"/>
        <v>12000.0000076</v>
      </c>
      <c r="I39" s="142">
        <f>SUMIF($L$21:$O$21,$I$21,L39:O39)</f>
        <v>10648.32</v>
      </c>
      <c r="J39" s="143"/>
      <c r="K39" s="194">
        <f>H39-I39-J39</f>
        <v>1351.6800076</v>
      </c>
      <c r="L39" s="195">
        <v>0</v>
      </c>
      <c r="M39" s="142">
        <f>21296.64*0.5</f>
        <v>10648.32</v>
      </c>
      <c r="N39" s="196"/>
      <c r="O39" s="142">
        <v>0</v>
      </c>
      <c r="P39" s="142">
        <f t="shared" si="9"/>
        <v>10648.32</v>
      </c>
      <c r="Q39" s="142">
        <f>P39-H39</f>
        <v>-1351.6800076</v>
      </c>
      <c r="R39" s="149" t="s">
        <v>246</v>
      </c>
      <c r="S39" s="163"/>
      <c r="T39" s="151"/>
      <c r="U39" s="149">
        <v>0</v>
      </c>
      <c r="V39" s="149">
        <v>23.584905660377359</v>
      </c>
      <c r="W39" s="149">
        <v>0</v>
      </c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</row>
    <row r="40" spans="1:34" s="152" customFormat="1" ht="28.5" customHeight="1" outlineLevel="2" x14ac:dyDescent="0.2">
      <c r="A40" s="139" t="s">
        <v>249</v>
      </c>
      <c r="B40" s="164" t="s">
        <v>250</v>
      </c>
      <c r="C40" s="164"/>
      <c r="D40" s="164"/>
      <c r="E40" s="197"/>
      <c r="F40" s="142">
        <f>[3]тарифы_2016!P34</f>
        <v>10000</v>
      </c>
      <c r="G40" s="143">
        <v>0</v>
      </c>
      <c r="H40" s="144">
        <f t="shared" si="8"/>
        <v>10000</v>
      </c>
      <c r="I40" s="142">
        <f>SUMIF($L$21:$O$21,$I$21,L40:O40)</f>
        <v>3000</v>
      </c>
      <c r="J40" s="143"/>
      <c r="K40" s="194">
        <f>H40-I40-J40</f>
        <v>7000</v>
      </c>
      <c r="L40" s="195">
        <v>3000</v>
      </c>
      <c r="M40" s="142">
        <v>0</v>
      </c>
      <c r="N40" s="196"/>
      <c r="O40" s="142">
        <v>0</v>
      </c>
      <c r="P40" s="142">
        <f t="shared" ref="P40" si="10">SUM(L40:O40)</f>
        <v>3000</v>
      </c>
      <c r="Q40" s="142">
        <f>P40-H40</f>
        <v>-7000</v>
      </c>
      <c r="R40" s="149"/>
      <c r="S40" s="163"/>
      <c r="T40" s="151"/>
      <c r="U40" s="149">
        <v>9.8685898574580891E-2</v>
      </c>
      <c r="V40" s="149">
        <v>2.9490325691022869</v>
      </c>
      <c r="W40" s="149">
        <v>0</v>
      </c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</row>
    <row r="41" spans="1:34" s="192" customFormat="1" ht="35.25" customHeight="1" outlineLevel="1" x14ac:dyDescent="0.2">
      <c r="A41" s="182">
        <v>4</v>
      </c>
      <c r="B41" s="183" t="s">
        <v>306</v>
      </c>
      <c r="C41" s="183"/>
      <c r="D41" s="183"/>
      <c r="E41" s="193"/>
      <c r="F41" s="185">
        <f>SUM(F42:F45)</f>
        <v>236656.33333333334</v>
      </c>
      <c r="G41" s="186">
        <v>0</v>
      </c>
      <c r="H41" s="187">
        <f>SUM(H42:H45)</f>
        <v>236656.33333333334</v>
      </c>
      <c r="I41" s="185">
        <f>SUM(I42:I45)</f>
        <v>223322.88</v>
      </c>
      <c r="J41" s="186"/>
      <c r="K41" s="188">
        <f>SUM(K42:K45)</f>
        <v>13333.453333333331</v>
      </c>
      <c r="L41" s="189">
        <f t="shared" ref="L41:Q41" si="11">SUM(L42:L45)</f>
        <v>167492.16</v>
      </c>
      <c r="M41" s="185">
        <f t="shared" si="11"/>
        <v>0</v>
      </c>
      <c r="N41" s="190"/>
      <c r="O41" s="185">
        <f t="shared" si="11"/>
        <v>55830.720000000001</v>
      </c>
      <c r="P41" s="185">
        <f t="shared" si="11"/>
        <v>223322.88</v>
      </c>
      <c r="Q41" s="185">
        <f t="shared" si="11"/>
        <v>-13333.453333333331</v>
      </c>
      <c r="R41" s="191"/>
      <c r="S41" s="68"/>
      <c r="T41" s="125"/>
      <c r="U41" s="137">
        <v>1.420550961662238</v>
      </c>
      <c r="V41" s="137">
        <v>190.5998765809737</v>
      </c>
      <c r="W41" s="137">
        <v>1.4205535408245975</v>
      </c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</row>
    <row r="42" spans="1:34" s="152" customFormat="1" ht="18" customHeight="1" outlineLevel="2" x14ac:dyDescent="0.2">
      <c r="A42" s="139" t="s">
        <v>251</v>
      </c>
      <c r="B42" s="164" t="s">
        <v>252</v>
      </c>
      <c r="C42" s="355" t="s">
        <v>101</v>
      </c>
      <c r="D42" s="355" t="s">
        <v>253</v>
      </c>
      <c r="E42" s="356">
        <v>18610.240000000002</v>
      </c>
      <c r="F42" s="142">
        <f>[3]тарифы_2016!P36</f>
        <v>4461.96</v>
      </c>
      <c r="G42" s="143">
        <v>0</v>
      </c>
      <c r="H42" s="144">
        <f t="shared" ref="H42:H46" si="12">F42-G42</f>
        <v>4461.96</v>
      </c>
      <c r="I42" s="142">
        <f>SUMIF($L$21:$O$21,$I$21,L42:O42)</f>
        <v>4461.84</v>
      </c>
      <c r="J42" s="143"/>
      <c r="K42" s="194">
        <f>H42-I42-J42</f>
        <v>0.11999999999989086</v>
      </c>
      <c r="L42" s="198">
        <v>3346.38</v>
      </c>
      <c r="M42" s="199"/>
      <c r="N42" s="200"/>
      <c r="O42" s="199">
        <v>1115.46</v>
      </c>
      <c r="P42" s="142">
        <f>SUM(L42:O42)</f>
        <v>4461.84</v>
      </c>
      <c r="Q42" s="147">
        <f>P42-H42</f>
        <v>-0.11999999999989086</v>
      </c>
      <c r="R42" s="149"/>
      <c r="S42" s="163"/>
      <c r="T42" s="151"/>
      <c r="U42" s="149">
        <v>0</v>
      </c>
      <c r="V42" s="149">
        <v>0</v>
      </c>
      <c r="W42" s="149">
        <v>1.230003307972213</v>
      </c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</row>
    <row r="43" spans="1:34" s="152" customFormat="1" ht="18" customHeight="1" outlineLevel="2" x14ac:dyDescent="0.2">
      <c r="A43" s="139" t="s">
        <v>254</v>
      </c>
      <c r="B43" s="164" t="s">
        <v>255</v>
      </c>
      <c r="C43" s="355"/>
      <c r="D43" s="355"/>
      <c r="E43" s="356"/>
      <c r="F43" s="142">
        <f>[3]тарифы_2016!P37</f>
        <v>117600</v>
      </c>
      <c r="G43" s="143">
        <v>0</v>
      </c>
      <c r="H43" s="144">
        <f t="shared" si="12"/>
        <v>117600</v>
      </c>
      <c r="I43" s="142">
        <f>SUMIF($L$21:$O$21,$I$21,L43:O43)</f>
        <v>117600</v>
      </c>
      <c r="J43" s="143"/>
      <c r="K43" s="194">
        <f>H43-I43-J43</f>
        <v>0</v>
      </c>
      <c r="L43" s="198">
        <v>88200</v>
      </c>
      <c r="M43" s="199"/>
      <c r="N43" s="200"/>
      <c r="O43" s="199">
        <v>29400</v>
      </c>
      <c r="P43" s="199">
        <f>SUM(L43:O43)</f>
        <v>117600</v>
      </c>
      <c r="Q43" s="147">
        <f>P43-H43</f>
        <v>0</v>
      </c>
      <c r="R43" s="149"/>
      <c r="S43" s="163"/>
      <c r="T43" s="151"/>
      <c r="U43" s="149">
        <v>0</v>
      </c>
      <c r="V43" s="149">
        <v>184.90566037735849</v>
      </c>
      <c r="W43" s="149">
        <v>0</v>
      </c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</row>
    <row r="44" spans="1:34" s="152" customFormat="1" ht="18" customHeight="1" outlineLevel="2" x14ac:dyDescent="0.2">
      <c r="A44" s="139" t="s">
        <v>256</v>
      </c>
      <c r="B44" s="164" t="s">
        <v>257</v>
      </c>
      <c r="C44" s="355"/>
      <c r="D44" s="355"/>
      <c r="E44" s="356"/>
      <c r="F44" s="142">
        <f>[3]тарифы_2016!P38</f>
        <v>101261.04000000001</v>
      </c>
      <c r="G44" s="143">
        <v>0</v>
      </c>
      <c r="H44" s="144">
        <f t="shared" si="12"/>
        <v>101261.04000000001</v>
      </c>
      <c r="I44" s="142">
        <f>SUMIF($L$21:$O$21,$I$21,L44:O44)</f>
        <v>101261.04000000001</v>
      </c>
      <c r="J44" s="143"/>
      <c r="K44" s="194">
        <f>H44-I44-J44</f>
        <v>0</v>
      </c>
      <c r="L44" s="198">
        <v>75945.78</v>
      </c>
      <c r="M44" s="199"/>
      <c r="N44" s="200"/>
      <c r="O44" s="199">
        <v>25315.260000000002</v>
      </c>
      <c r="P44" s="199">
        <f>SUM(L44:O44)</f>
        <v>101261.04000000001</v>
      </c>
      <c r="Q44" s="147">
        <f>P44-H44</f>
        <v>0</v>
      </c>
      <c r="R44" s="149"/>
      <c r="S44" s="163"/>
      <c r="T44" s="151"/>
      <c r="U44" s="149">
        <v>1.2300007288098536</v>
      </c>
      <c r="V44" s="149">
        <v>0</v>
      </c>
      <c r="W44" s="149">
        <v>0</v>
      </c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</row>
    <row r="45" spans="1:34" s="152" customFormat="1" ht="18" customHeight="1" outlineLevel="2" x14ac:dyDescent="0.2">
      <c r="A45" s="139" t="s">
        <v>258</v>
      </c>
      <c r="B45" s="164" t="s">
        <v>259</v>
      </c>
      <c r="C45" s="164"/>
      <c r="D45" s="164"/>
      <c r="E45" s="197"/>
      <c r="F45" s="142">
        <f>[3]тарифы_2016!P39</f>
        <v>13333.333333333332</v>
      </c>
      <c r="G45" s="143">
        <v>0</v>
      </c>
      <c r="H45" s="144">
        <f t="shared" si="12"/>
        <v>13333.333333333332</v>
      </c>
      <c r="I45" s="142">
        <f>SUMIF($L$21:$O$21,$I$21,L45:O45)</f>
        <v>0</v>
      </c>
      <c r="J45" s="143"/>
      <c r="K45" s="194">
        <f>H45-I45-J45</f>
        <v>13333.333333333332</v>
      </c>
      <c r="L45" s="195">
        <v>0</v>
      </c>
      <c r="M45" s="142">
        <v>0</v>
      </c>
      <c r="N45" s="196"/>
      <c r="O45" s="142">
        <v>0</v>
      </c>
      <c r="P45" s="142">
        <f>SUM(L45:O45)</f>
        <v>0</v>
      </c>
      <c r="Q45" s="199">
        <f>P45-H45</f>
        <v>-13333.333333333332</v>
      </c>
      <c r="R45" s="149" t="s">
        <v>235</v>
      </c>
      <c r="S45" s="163"/>
      <c r="T45" s="151"/>
      <c r="U45" s="149">
        <v>0.19055023285238454</v>
      </c>
      <c r="V45" s="149">
        <v>5.6942162036152189</v>
      </c>
      <c r="W45" s="149">
        <v>0.19055023285238454</v>
      </c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</row>
    <row r="46" spans="1:34" s="192" customFormat="1" ht="32.25" customHeight="1" outlineLevel="1" x14ac:dyDescent="0.2">
      <c r="A46" s="128">
        <v>5</v>
      </c>
      <c r="B46" s="129" t="s">
        <v>173</v>
      </c>
      <c r="C46" s="128" t="s">
        <v>95</v>
      </c>
      <c r="D46" s="128" t="s">
        <v>260</v>
      </c>
      <c r="E46" s="201">
        <v>19997</v>
      </c>
      <c r="F46" s="131">
        <f>[3]тарифы_2016!P40</f>
        <v>239414.75466666665</v>
      </c>
      <c r="G46" s="132">
        <v>0</v>
      </c>
      <c r="H46" s="133">
        <f t="shared" si="12"/>
        <v>239414.75466666665</v>
      </c>
      <c r="I46" s="131">
        <f>SUMIF($L$21:$O$21,$I$21,L46:O46)</f>
        <v>239964</v>
      </c>
      <c r="J46" s="132"/>
      <c r="K46" s="202">
        <f>H46-I46-J46</f>
        <v>-549.24533333335421</v>
      </c>
      <c r="L46" s="135">
        <v>179973</v>
      </c>
      <c r="M46" s="131">
        <v>0</v>
      </c>
      <c r="N46" s="136"/>
      <c r="O46" s="131">
        <f>19997*3</f>
        <v>59991</v>
      </c>
      <c r="P46" s="131">
        <f>SUM(L46:O46)</f>
        <v>239964</v>
      </c>
      <c r="Q46" s="203">
        <f>P46-H46</f>
        <v>549.24533333335421</v>
      </c>
      <c r="R46" s="137" t="s">
        <v>261</v>
      </c>
      <c r="S46" s="68"/>
      <c r="T46" s="125"/>
      <c r="U46" s="137">
        <v>2.3015038224376707</v>
      </c>
      <c r="V46" s="137">
        <v>68.775882150505339</v>
      </c>
      <c r="W46" s="137">
        <v>2.3015038224376707</v>
      </c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</row>
    <row r="47" spans="1:34" s="192" customFormat="1" ht="19.5" customHeight="1" outlineLevel="1" x14ac:dyDescent="0.2">
      <c r="A47" s="128">
        <v>6</v>
      </c>
      <c r="B47" s="204" t="s">
        <v>46</v>
      </c>
      <c r="C47" s="205"/>
      <c r="D47" s="205"/>
      <c r="E47" s="206"/>
      <c r="F47" s="207">
        <f>F48+F49+F50+F53+F54</f>
        <v>996520.38666666672</v>
      </c>
      <c r="G47" s="132">
        <v>0</v>
      </c>
      <c r="H47" s="208">
        <f>H48+H49+H50+H53+H54</f>
        <v>996520.38666666672</v>
      </c>
      <c r="I47" s="85">
        <f>I48+I49+I50+I53+I54</f>
        <v>914630.63000000012</v>
      </c>
      <c r="J47" s="209"/>
      <c r="K47" s="202">
        <f>K48+K49+K50+K53+K54</f>
        <v>81889.756666666624</v>
      </c>
      <c r="L47" s="135">
        <f t="shared" ref="L47:Q47" si="13">L48+L49+L50+L53+L54</f>
        <v>613548.64</v>
      </c>
      <c r="M47" s="131">
        <f t="shared" si="13"/>
        <v>194357.57</v>
      </c>
      <c r="N47" s="136"/>
      <c r="O47" s="131">
        <f t="shared" si="13"/>
        <v>106724.42000000001</v>
      </c>
      <c r="P47" s="131">
        <f t="shared" si="13"/>
        <v>914630.63000000012</v>
      </c>
      <c r="Q47" s="203">
        <f t="shared" si="13"/>
        <v>-81889.756666666624</v>
      </c>
      <c r="R47" s="137"/>
      <c r="S47" s="68"/>
      <c r="T47" s="125"/>
      <c r="U47" s="137">
        <v>9.0413958158369994</v>
      </c>
      <c r="V47" s="137">
        <v>497.44559429238052</v>
      </c>
      <c r="W47" s="137">
        <v>4.2968436694919809</v>
      </c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</row>
    <row r="48" spans="1:34" s="152" customFormat="1" ht="25.5" customHeight="1" outlineLevel="2" x14ac:dyDescent="0.2">
      <c r="A48" s="153" t="s">
        <v>175</v>
      </c>
      <c r="B48" s="166" t="s">
        <v>381</v>
      </c>
      <c r="C48" s="166" t="s">
        <v>100</v>
      </c>
      <c r="D48" s="166" t="s">
        <v>262</v>
      </c>
      <c r="E48" s="210" t="s">
        <v>263</v>
      </c>
      <c r="F48" s="156">
        <f>[3]тарифы_2016!P42</f>
        <v>102697.24799999999</v>
      </c>
      <c r="G48" s="157">
        <v>0</v>
      </c>
      <c r="H48" s="158">
        <f t="shared" ref="H48:H49" si="14">F48-G48</f>
        <v>102697.24799999999</v>
      </c>
      <c r="I48" s="156">
        <f>SUMIF($L$21:$O$21,$I$21,L48:O48)</f>
        <v>98860.88</v>
      </c>
      <c r="J48" s="157"/>
      <c r="K48" s="211">
        <f>H48-I48-J48</f>
        <v>3836.3679999999877</v>
      </c>
      <c r="L48" s="160">
        <v>70870.8</v>
      </c>
      <c r="M48" s="156">
        <v>19719.22</v>
      </c>
      <c r="N48" s="161"/>
      <c r="O48" s="156">
        <v>8270.86</v>
      </c>
      <c r="P48" s="156">
        <f>SUM(L48:O48)</f>
        <v>98860.88</v>
      </c>
      <c r="Q48" s="156">
        <f t="shared" ref="Q48:Q57" si="15">P48-H48</f>
        <v>-3836.3679999999877</v>
      </c>
      <c r="R48" s="162"/>
      <c r="S48" s="163"/>
      <c r="T48" s="151"/>
      <c r="U48" s="149">
        <v>1.5221980231194503</v>
      </c>
      <c r="V48" s="149">
        <v>0</v>
      </c>
      <c r="W48" s="149">
        <v>1.5221980231194503</v>
      </c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</row>
    <row r="49" spans="1:34" s="152" customFormat="1" ht="28.5" customHeight="1" outlineLevel="2" x14ac:dyDescent="0.2">
      <c r="A49" s="139" t="s">
        <v>177</v>
      </c>
      <c r="B49" s="164" t="s">
        <v>20</v>
      </c>
      <c r="C49" s="164" t="s">
        <v>99</v>
      </c>
      <c r="D49" s="212" t="s">
        <v>264</v>
      </c>
      <c r="E49" s="213">
        <v>1071.2</v>
      </c>
      <c r="F49" s="142">
        <f>[3]тарифы_2016!P43</f>
        <v>12416.328</v>
      </c>
      <c r="G49" s="143">
        <v>0</v>
      </c>
      <c r="H49" s="144">
        <f t="shared" si="14"/>
        <v>12416.328</v>
      </c>
      <c r="I49" s="142">
        <f>SUMIF($L$21:$O$21,$I$21,L49:O49)</f>
        <v>12854.44</v>
      </c>
      <c r="J49" s="143"/>
      <c r="K49" s="214">
        <f>H49-I49-J49</f>
        <v>-438.11200000000099</v>
      </c>
      <c r="L49" s="195">
        <v>9640.83</v>
      </c>
      <c r="M49" s="142">
        <v>0</v>
      </c>
      <c r="N49" s="196"/>
      <c r="O49" s="142">
        <v>3213.61</v>
      </c>
      <c r="P49" s="142">
        <f>SUM(L49:O49)</f>
        <v>12854.44</v>
      </c>
      <c r="Q49" s="147">
        <f t="shared" si="15"/>
        <v>438.11200000000099</v>
      </c>
      <c r="R49" s="149"/>
      <c r="S49" s="163"/>
      <c r="T49" s="151"/>
      <c r="U49" s="149">
        <v>0.13211019138865387</v>
      </c>
      <c r="V49" s="149">
        <v>3.9478513419122643</v>
      </c>
      <c r="W49" s="149">
        <v>0.13211019138865387</v>
      </c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</row>
    <row r="50" spans="1:34" s="152" customFormat="1" ht="21.75" customHeight="1" outlineLevel="2" collapsed="1" x14ac:dyDescent="0.2">
      <c r="A50" s="153" t="s">
        <v>179</v>
      </c>
      <c r="B50" s="166" t="s">
        <v>21</v>
      </c>
      <c r="C50" s="166"/>
      <c r="D50" s="215"/>
      <c r="E50" s="168"/>
      <c r="F50" s="156">
        <f>SUM(F51:F52)</f>
        <v>280119.88</v>
      </c>
      <c r="G50" s="157">
        <v>0</v>
      </c>
      <c r="H50" s="216">
        <f>SUM(H51:H52)</f>
        <v>280119.88</v>
      </c>
      <c r="I50" s="217">
        <f>SUM(I51:I52)</f>
        <v>257355.47100000002</v>
      </c>
      <c r="J50" s="218"/>
      <c r="K50" s="211">
        <f>SUM(K51:K52)</f>
        <v>22764.409</v>
      </c>
      <c r="L50" s="160">
        <f>SUM(L51:L52)</f>
        <v>136079.61499999999</v>
      </c>
      <c r="M50" s="156">
        <f t="shared" ref="M50:P50" si="16">SUM(M51:M52)</f>
        <v>78931.356</v>
      </c>
      <c r="N50" s="161"/>
      <c r="O50" s="156">
        <f t="shared" si="16"/>
        <v>42344.5</v>
      </c>
      <c r="P50" s="156">
        <f t="shared" si="16"/>
        <v>257355.47100000002</v>
      </c>
      <c r="Q50" s="156">
        <f t="shared" si="15"/>
        <v>-22764.408999999985</v>
      </c>
      <c r="R50" s="162"/>
      <c r="S50" s="163"/>
      <c r="T50" s="151"/>
      <c r="U50" s="149">
        <v>0</v>
      </c>
      <c r="V50" s="149">
        <v>476.41509433962261</v>
      </c>
      <c r="W50" s="149">
        <v>0</v>
      </c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</row>
    <row r="51" spans="1:34" s="63" customFormat="1" ht="21.75" hidden="1" customHeight="1" outlineLevel="3" x14ac:dyDescent="0.2">
      <c r="A51" s="169" t="s">
        <v>265</v>
      </c>
      <c r="B51" s="170" t="s">
        <v>266</v>
      </c>
      <c r="C51" s="170" t="s">
        <v>267</v>
      </c>
      <c r="D51" s="219" t="s">
        <v>268</v>
      </c>
      <c r="E51" s="181">
        <f>47200*0.6</f>
        <v>28320</v>
      </c>
      <c r="F51" s="172">
        <f>[3]тарифы_2016!P45</f>
        <v>256119.88</v>
      </c>
      <c r="G51" s="173">
        <v>0</v>
      </c>
      <c r="H51" s="174">
        <f t="shared" ref="H51:H53" si="17">F51-G51</f>
        <v>256119.88</v>
      </c>
      <c r="I51" s="172">
        <f>SUMIF($L$21:$O$21,$I$21,L51:O51)</f>
        <v>215051.356</v>
      </c>
      <c r="J51" s="173"/>
      <c r="K51" s="220">
        <f>H51-I51-J51</f>
        <v>41068.524000000005</v>
      </c>
      <c r="L51" s="176">
        <f>132000*0.6+15600+13000</f>
        <v>107800</v>
      </c>
      <c r="M51" s="177">
        <f>(47200+40200+42632.26+1520)*0.6</f>
        <v>78931.356</v>
      </c>
      <c r="N51" s="178"/>
      <c r="O51" s="177">
        <f>47200*0.6</f>
        <v>28320</v>
      </c>
      <c r="P51" s="177">
        <f>SUM(L51:O51)</f>
        <v>215051.356</v>
      </c>
      <c r="Q51" s="177">
        <f t="shared" si="15"/>
        <v>-41068.524000000005</v>
      </c>
      <c r="R51" s="179" t="s">
        <v>269</v>
      </c>
      <c r="T51" s="180"/>
      <c r="U51" s="179">
        <v>0</v>
      </c>
      <c r="V51" s="179">
        <v>419.81132075471697</v>
      </c>
      <c r="W51" s="179">
        <v>0</v>
      </c>
    </row>
    <row r="52" spans="1:34" s="63" customFormat="1" ht="21.75" hidden="1" customHeight="1" outlineLevel="3" x14ac:dyDescent="0.2">
      <c r="A52" s="169" t="s">
        <v>270</v>
      </c>
      <c r="B52" s="170" t="s">
        <v>271</v>
      </c>
      <c r="C52" s="170"/>
      <c r="D52" s="219"/>
      <c r="E52" s="181"/>
      <c r="F52" s="172">
        <f>[3]тарифы_2016!P46</f>
        <v>24000</v>
      </c>
      <c r="G52" s="173">
        <v>0</v>
      </c>
      <c r="H52" s="174">
        <f t="shared" si="17"/>
        <v>24000</v>
      </c>
      <c r="I52" s="172">
        <f>SUMIF($L$21:$O$21,$I$21,L52:O52)</f>
        <v>42304.115000000005</v>
      </c>
      <c r="J52" s="173"/>
      <c r="K52" s="221">
        <f>H52-I52-J52</f>
        <v>-18304.115000000005</v>
      </c>
      <c r="L52" s="176">
        <f>8212+40135.23/2</f>
        <v>28279.615000000002</v>
      </c>
      <c r="M52" s="172">
        <v>0</v>
      </c>
      <c r="N52" s="222"/>
      <c r="O52" s="172">
        <v>14024.5</v>
      </c>
      <c r="P52" s="177">
        <f>SUM(L52:O52)</f>
        <v>42304.115000000005</v>
      </c>
      <c r="Q52" s="172">
        <f t="shared" si="15"/>
        <v>18304.115000000005</v>
      </c>
      <c r="R52" s="179" t="s">
        <v>235</v>
      </c>
      <c r="T52" s="180"/>
      <c r="U52" s="179">
        <v>0</v>
      </c>
      <c r="V52" s="179">
        <v>56.60377358490566</v>
      </c>
      <c r="W52" s="179">
        <v>0</v>
      </c>
    </row>
    <row r="53" spans="1:34" s="152" customFormat="1" ht="26.25" customHeight="1" outlineLevel="2" x14ac:dyDescent="0.2">
      <c r="A53" s="153" t="s">
        <v>181</v>
      </c>
      <c r="B53" s="166" t="s">
        <v>307</v>
      </c>
      <c r="C53" s="166" t="s">
        <v>97</v>
      </c>
      <c r="D53" s="215" t="s">
        <v>272</v>
      </c>
      <c r="E53" s="168">
        <f>47200*0.4</f>
        <v>18880</v>
      </c>
      <c r="F53" s="156">
        <f>[3]тарифы_2016!P47</f>
        <v>170811.85066666667</v>
      </c>
      <c r="G53" s="157">
        <v>0</v>
      </c>
      <c r="H53" s="158">
        <f t="shared" si="17"/>
        <v>170811.85066666667</v>
      </c>
      <c r="I53" s="156">
        <f>SUMIF($L$21:$O$21,$I$21,L53:O53)</f>
        <v>125707.50400000002</v>
      </c>
      <c r="J53" s="157"/>
      <c r="K53" s="211">
        <f>H53-I53-J53</f>
        <v>45104.34666666665</v>
      </c>
      <c r="L53" s="160">
        <f>132000*0.4</f>
        <v>52800</v>
      </c>
      <c r="M53" s="156">
        <f>(47200+40200+42632.26+1520)*0.4+1406.6</f>
        <v>54027.504000000008</v>
      </c>
      <c r="N53" s="161"/>
      <c r="O53" s="156">
        <f>47200*0.4</f>
        <v>18880</v>
      </c>
      <c r="P53" s="156">
        <f>SUM(L53:O53)</f>
        <v>125707.50400000002</v>
      </c>
      <c r="Q53" s="156">
        <f t="shared" si="15"/>
        <v>-45104.34666666665</v>
      </c>
      <c r="R53" s="162" t="s">
        <v>269</v>
      </c>
      <c r="S53" s="163"/>
      <c r="T53" s="151"/>
      <c r="U53" s="149">
        <v>2.0708847564267234</v>
      </c>
      <c r="V53" s="149">
        <v>0</v>
      </c>
      <c r="W53" s="149">
        <v>2.0708847564267234</v>
      </c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</row>
    <row r="54" spans="1:34" s="152" customFormat="1" ht="24.75" customHeight="1" outlineLevel="2" collapsed="1" x14ac:dyDescent="0.2">
      <c r="A54" s="153" t="s">
        <v>183</v>
      </c>
      <c r="B54" s="166" t="s">
        <v>273</v>
      </c>
      <c r="C54" s="166"/>
      <c r="D54" s="166"/>
      <c r="E54" s="168"/>
      <c r="F54" s="156">
        <f>SUM(F55:F56)</f>
        <v>430475.08</v>
      </c>
      <c r="G54" s="157">
        <v>0</v>
      </c>
      <c r="H54" s="216">
        <f t="shared" ref="H54:I54" si="18">SUM(H55:H56)</f>
        <v>430475.08</v>
      </c>
      <c r="I54" s="217">
        <f t="shared" si="18"/>
        <v>419852.33500000002</v>
      </c>
      <c r="J54" s="218"/>
      <c r="K54" s="211">
        <f>SUM(K55:K56)</f>
        <v>10622.745000000003</v>
      </c>
      <c r="L54" s="160">
        <f t="shared" ref="L54:P54" si="19">SUM(L55:L56)</f>
        <v>344157.39500000002</v>
      </c>
      <c r="M54" s="156">
        <f t="shared" si="19"/>
        <v>41679.49</v>
      </c>
      <c r="N54" s="161"/>
      <c r="O54" s="156">
        <f>SUM(O55:O56)</f>
        <v>34015.450000000004</v>
      </c>
      <c r="P54" s="156">
        <f t="shared" si="19"/>
        <v>419852.33500000002</v>
      </c>
      <c r="Q54" s="156">
        <f t="shared" si="15"/>
        <v>-10622.744999999995</v>
      </c>
      <c r="R54" s="162"/>
      <c r="S54" s="163"/>
      <c r="T54" s="151"/>
      <c r="U54" s="149">
        <v>5.3162028449021719</v>
      </c>
      <c r="V54" s="149">
        <v>17.082648610845656</v>
      </c>
      <c r="W54" s="149">
        <v>0.57165069855715356</v>
      </c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</row>
    <row r="55" spans="1:34" s="63" customFormat="1" ht="21.75" hidden="1" customHeight="1" outlineLevel="3" x14ac:dyDescent="0.2">
      <c r="A55" s="169" t="s">
        <v>274</v>
      </c>
      <c r="B55" s="170" t="s">
        <v>275</v>
      </c>
      <c r="C55" s="357" t="s">
        <v>276</v>
      </c>
      <c r="D55" s="358"/>
      <c r="E55" s="181"/>
      <c r="F55" s="172">
        <f>[3]тарифы_2016!P49</f>
        <v>390475.08</v>
      </c>
      <c r="G55" s="173">
        <v>0</v>
      </c>
      <c r="H55" s="174">
        <f t="shared" ref="H55:H56" si="20">F55-G55</f>
        <v>390475.08</v>
      </c>
      <c r="I55" s="172">
        <f>SUMIF($L$21:$O$21,$I$21,L55:O55)</f>
        <v>382820.25</v>
      </c>
      <c r="J55" s="173"/>
      <c r="K55" s="221">
        <f>H55-I55-J55</f>
        <v>7654.8300000000163</v>
      </c>
      <c r="L55" s="223">
        <v>312699.78000000003</v>
      </c>
      <c r="M55" s="224">
        <f>32550+6500</f>
        <v>39050</v>
      </c>
      <c r="N55" s="225"/>
      <c r="O55" s="224">
        <v>31070.47</v>
      </c>
      <c r="P55" s="172">
        <f t="shared" ref="P55:P56" si="21">SUM(L55:O55)</f>
        <v>382820.25</v>
      </c>
      <c r="Q55" s="224">
        <f t="shared" si="15"/>
        <v>-7654.8300000000163</v>
      </c>
      <c r="R55" s="179"/>
      <c r="T55" s="180"/>
      <c r="U55" s="179">
        <v>4.7445521463450184</v>
      </c>
      <c r="V55" s="179">
        <v>0</v>
      </c>
      <c r="W55" s="179">
        <v>0</v>
      </c>
    </row>
    <row r="56" spans="1:34" s="63" customFormat="1" ht="21.75" hidden="1" customHeight="1" outlineLevel="3" x14ac:dyDescent="0.2">
      <c r="A56" s="169" t="s">
        <v>277</v>
      </c>
      <c r="B56" s="170" t="s">
        <v>278</v>
      </c>
      <c r="C56" s="170"/>
      <c r="D56" s="170"/>
      <c r="E56" s="181"/>
      <c r="F56" s="172">
        <f>[3]тарифы_2016!P50</f>
        <v>39999.999999999993</v>
      </c>
      <c r="G56" s="173">
        <v>0</v>
      </c>
      <c r="H56" s="174">
        <f t="shared" si="20"/>
        <v>39999.999999999993</v>
      </c>
      <c r="I56" s="172">
        <f>SUMIF($L$21:$O$21,$I$21,L56:O56)</f>
        <v>37032.085000000006</v>
      </c>
      <c r="J56" s="173"/>
      <c r="K56" s="221">
        <f>H56-I56-J56</f>
        <v>2967.9149999999863</v>
      </c>
      <c r="L56" s="226">
        <f>11390+40135.23/2</f>
        <v>31457.615000000002</v>
      </c>
      <c r="M56" s="172">
        <v>2629.49</v>
      </c>
      <c r="N56" s="222"/>
      <c r="O56" s="172">
        <v>2944.98</v>
      </c>
      <c r="P56" s="172">
        <f t="shared" si="21"/>
        <v>37032.085000000006</v>
      </c>
      <c r="Q56" s="172">
        <f t="shared" si="15"/>
        <v>-2967.9149999999863</v>
      </c>
      <c r="R56" s="179" t="s">
        <v>235</v>
      </c>
      <c r="T56" s="180"/>
      <c r="U56" s="179">
        <v>0.57165069855715356</v>
      </c>
      <c r="V56" s="179">
        <v>17.082648610845656</v>
      </c>
      <c r="W56" s="179">
        <v>0.57165069855715356</v>
      </c>
    </row>
    <row r="57" spans="1:34" s="192" customFormat="1" ht="26.25" customHeight="1" outlineLevel="1" x14ac:dyDescent="0.2">
      <c r="A57" s="227">
        <v>7</v>
      </c>
      <c r="B57" s="228" t="s">
        <v>42</v>
      </c>
      <c r="C57" s="182" t="s">
        <v>375</v>
      </c>
      <c r="D57" s="182" t="s">
        <v>279</v>
      </c>
      <c r="E57" s="184">
        <v>150000</v>
      </c>
      <c r="F57" s="185">
        <v>1800000</v>
      </c>
      <c r="G57" s="186">
        <v>0</v>
      </c>
      <c r="H57" s="187">
        <f>F57-G57</f>
        <v>1800000</v>
      </c>
      <c r="I57" s="185">
        <f>SUMIF($L$21:$O$21,$I$21,L57:O57)</f>
        <v>1798104.33</v>
      </c>
      <c r="J57" s="186"/>
      <c r="K57" s="229">
        <f>H57-I57-J57</f>
        <v>1895.6699999999255</v>
      </c>
      <c r="L57" s="189">
        <v>1350000</v>
      </c>
      <c r="M57" s="185">
        <f>150000+150000</f>
        <v>300000</v>
      </c>
      <c r="N57" s="190"/>
      <c r="O57" s="185">
        <v>148104.32999999999</v>
      </c>
      <c r="P57" s="185">
        <f>SUM(L57:O57)</f>
        <v>1798104.33</v>
      </c>
      <c r="Q57" s="185">
        <f t="shared" si="15"/>
        <v>-1895.6699999999255</v>
      </c>
      <c r="R57" s="191"/>
      <c r="S57" s="68"/>
      <c r="T57" s="125"/>
      <c r="U57" s="137">
        <v>17.149520956714607</v>
      </c>
      <c r="V57" s="137">
        <v>512.47945832536971</v>
      </c>
      <c r="W57" s="137">
        <v>17.149520956714607</v>
      </c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</row>
    <row r="58" spans="1:34" s="192" customFormat="1" ht="30" customHeight="1" outlineLevel="1" x14ac:dyDescent="0.2">
      <c r="A58" s="227" t="s">
        <v>186</v>
      </c>
      <c r="B58" s="228" t="s">
        <v>32</v>
      </c>
      <c r="C58" s="182"/>
      <c r="D58" s="182"/>
      <c r="E58" s="193"/>
      <c r="F58" s="185">
        <f>SUM(F59:F60)</f>
        <v>841777.97333333339</v>
      </c>
      <c r="G58" s="186">
        <v>0</v>
      </c>
      <c r="H58" s="230">
        <f>SUM(H59:H60)</f>
        <v>841777.97333333339</v>
      </c>
      <c r="I58" s="231">
        <f>SUM(I59:I60)</f>
        <v>733951.09499999997</v>
      </c>
      <c r="J58" s="232"/>
      <c r="K58" s="229">
        <f>SUM(K59:K60)</f>
        <v>107826.87833333336</v>
      </c>
      <c r="L58" s="189">
        <f t="shared" ref="L58:Q58" si="22">SUM(L59:L60)</f>
        <v>603147.27</v>
      </c>
      <c r="M58" s="185">
        <f t="shared" si="22"/>
        <v>71436.225000000006</v>
      </c>
      <c r="N58" s="190"/>
      <c r="O58" s="185">
        <f t="shared" si="22"/>
        <v>59367.6</v>
      </c>
      <c r="P58" s="185">
        <f t="shared" si="22"/>
        <v>733951.09499999997</v>
      </c>
      <c r="Q58" s="185">
        <f t="shared" si="22"/>
        <v>-107826.87833333336</v>
      </c>
      <c r="R58" s="191"/>
      <c r="S58" s="68"/>
      <c r="T58" s="125"/>
      <c r="U58" s="137">
        <v>8.1797689006775958</v>
      </c>
      <c r="V58" s="137">
        <v>244.43618839421089</v>
      </c>
      <c r="W58" s="137">
        <v>8.1797689006775958</v>
      </c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</row>
    <row r="59" spans="1:34" s="163" customFormat="1" ht="28.5" customHeight="1" outlineLevel="2" x14ac:dyDescent="0.2">
      <c r="A59" s="139" t="s">
        <v>280</v>
      </c>
      <c r="B59" s="164" t="s">
        <v>281</v>
      </c>
      <c r="C59" s="359" t="s">
        <v>282</v>
      </c>
      <c r="D59" s="360"/>
      <c r="E59" s="197"/>
      <c r="F59" s="142">
        <f>[3]тарифы_2016!P54</f>
        <v>808444.64</v>
      </c>
      <c r="G59" s="143">
        <v>0</v>
      </c>
      <c r="H59" s="144">
        <f t="shared" ref="H59:H64" si="23">F59-G59</f>
        <v>808444.64</v>
      </c>
      <c r="I59" s="142">
        <f>SUMIF($L$21:$O$21,$I$21,L59:O59)</f>
        <v>719573.37</v>
      </c>
      <c r="J59" s="143"/>
      <c r="K59" s="214">
        <f>H59-I59-J59</f>
        <v>88871.270000000019</v>
      </c>
      <c r="L59" s="195">
        <v>600313.77</v>
      </c>
      <c r="M59" s="142">
        <v>59892</v>
      </c>
      <c r="N59" s="196"/>
      <c r="O59" s="142">
        <v>59367.6</v>
      </c>
      <c r="P59" s="142">
        <f t="shared" ref="P59:P60" si="24">SUM(L59:O59)</f>
        <v>719573.37</v>
      </c>
      <c r="Q59" s="142">
        <f>P59-H59</f>
        <v>-88871.270000000019</v>
      </c>
      <c r="R59" s="149"/>
      <c r="T59" s="151"/>
      <c r="U59" s="149">
        <v>7.7033933185466346</v>
      </c>
      <c r="V59" s="149">
        <v>230.20064788517283</v>
      </c>
      <c r="W59" s="149">
        <v>7.7033933185466346</v>
      </c>
    </row>
    <row r="60" spans="1:34" s="163" customFormat="1" ht="21.75" customHeight="1" outlineLevel="2" x14ac:dyDescent="0.2">
      <c r="A60" s="139" t="s">
        <v>283</v>
      </c>
      <c r="B60" s="164" t="s">
        <v>284</v>
      </c>
      <c r="C60" s="164"/>
      <c r="D60" s="164"/>
      <c r="E60" s="197"/>
      <c r="F60" s="142">
        <f>[3]тарифы_2016!P55</f>
        <v>33333.333333333336</v>
      </c>
      <c r="G60" s="143">
        <v>0</v>
      </c>
      <c r="H60" s="144">
        <f t="shared" si="23"/>
        <v>33333.333333333336</v>
      </c>
      <c r="I60" s="142">
        <f>SUMIF($L$21:$O$21,$I$21,L60:O60)</f>
        <v>14377.725</v>
      </c>
      <c r="J60" s="143"/>
      <c r="K60" s="214">
        <f>H60-I60-J60</f>
        <v>18955.608333333337</v>
      </c>
      <c r="L60" s="195">
        <f>5667/2</f>
        <v>2833.5</v>
      </c>
      <c r="M60" s="142">
        <f>23088.45*0.5</f>
        <v>11544.225</v>
      </c>
      <c r="N60" s="196"/>
      <c r="O60" s="142"/>
      <c r="P60" s="142">
        <f t="shared" si="24"/>
        <v>14377.725</v>
      </c>
      <c r="Q60" s="142">
        <f>P60-H60</f>
        <v>-18955.608333333337</v>
      </c>
      <c r="R60" s="149" t="s">
        <v>235</v>
      </c>
      <c r="T60" s="151"/>
      <c r="U60" s="149">
        <v>0.47637558213096137</v>
      </c>
      <c r="V60" s="149">
        <v>14.235540509038049</v>
      </c>
      <c r="W60" s="149">
        <v>0.47637558213096137</v>
      </c>
    </row>
    <row r="61" spans="1:34" s="192" customFormat="1" ht="27" customHeight="1" outlineLevel="1" x14ac:dyDescent="0.2">
      <c r="A61" s="227" t="s">
        <v>188</v>
      </c>
      <c r="B61" s="228" t="s">
        <v>285</v>
      </c>
      <c r="C61" s="182"/>
      <c r="D61" s="182"/>
      <c r="E61" s="193"/>
      <c r="F61" s="185">
        <f>SUM(F62:F63)</f>
        <v>841777.97333333339</v>
      </c>
      <c r="G61" s="186">
        <v>0</v>
      </c>
      <c r="H61" s="230">
        <f>SUM(H62:H63)</f>
        <v>841777.97333333339</v>
      </c>
      <c r="I61" s="231">
        <f>SUM(I62:I63)</f>
        <v>735647.54500000004</v>
      </c>
      <c r="J61" s="232"/>
      <c r="K61" s="229">
        <f>SUM(K62:K63)</f>
        <v>106130.42833333329</v>
      </c>
      <c r="L61" s="189">
        <f t="shared" ref="L61:Q61" si="25">SUM(L62:L63)</f>
        <v>604319.32000000007</v>
      </c>
      <c r="M61" s="185">
        <f t="shared" si="25"/>
        <v>71436.225000000006</v>
      </c>
      <c r="N61" s="190"/>
      <c r="O61" s="185">
        <f t="shared" si="25"/>
        <v>59892</v>
      </c>
      <c r="P61" s="185">
        <f t="shared" si="25"/>
        <v>735647.54500000004</v>
      </c>
      <c r="Q61" s="185">
        <f t="shared" si="25"/>
        <v>-106130.42833333329</v>
      </c>
      <c r="R61" s="191"/>
      <c r="S61" s="233"/>
      <c r="T61" s="125"/>
      <c r="U61" s="137">
        <f>SUM(U62:U63)</f>
        <v>8.1797689006775958</v>
      </c>
      <c r="V61" s="137">
        <f t="shared" ref="V61:W61" si="26">SUM(V62:V63)</f>
        <v>244.43618839421089</v>
      </c>
      <c r="W61" s="137">
        <f t="shared" si="26"/>
        <v>8.1797689006775958</v>
      </c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</row>
    <row r="62" spans="1:34" s="163" customFormat="1" ht="21.75" customHeight="1" outlineLevel="2" x14ac:dyDescent="0.2">
      <c r="A62" s="139" t="s">
        <v>286</v>
      </c>
      <c r="B62" s="164" t="s">
        <v>281</v>
      </c>
      <c r="C62" s="361" t="s">
        <v>287</v>
      </c>
      <c r="D62" s="362"/>
      <c r="E62" s="197"/>
      <c r="F62" s="142">
        <f>[3]тарифы_2016!P57</f>
        <v>808444.64</v>
      </c>
      <c r="G62" s="143">
        <v>0</v>
      </c>
      <c r="H62" s="144">
        <f t="shared" si="23"/>
        <v>808444.64</v>
      </c>
      <c r="I62" s="142">
        <f>SUMIF($L$21:$O$21,$I$21,L62:O62)</f>
        <v>721269.82000000007</v>
      </c>
      <c r="J62" s="143"/>
      <c r="K62" s="214">
        <f>H62-I62-J62</f>
        <v>87174.819999999949</v>
      </c>
      <c r="L62" s="195">
        <v>601485.82000000007</v>
      </c>
      <c r="M62" s="142">
        <v>59892</v>
      </c>
      <c r="N62" s="196"/>
      <c r="O62" s="142">
        <v>59892</v>
      </c>
      <c r="P62" s="142">
        <f t="shared" ref="P62:P63" si="27">SUM(L62:O62)</f>
        <v>721269.82000000007</v>
      </c>
      <c r="Q62" s="142">
        <f>P62-H62</f>
        <v>-87174.819999999949</v>
      </c>
      <c r="R62" s="149"/>
      <c r="S62" s="234"/>
      <c r="T62" s="151"/>
      <c r="U62" s="149">
        <v>7.7033933185466346</v>
      </c>
      <c r="V62" s="149">
        <v>230.20064788517283</v>
      </c>
      <c r="W62" s="149">
        <v>7.7033933185466346</v>
      </c>
    </row>
    <row r="63" spans="1:34" s="163" customFormat="1" ht="19.5" customHeight="1" outlineLevel="2" x14ac:dyDescent="0.2">
      <c r="A63" s="139" t="s">
        <v>288</v>
      </c>
      <c r="B63" s="164" t="s">
        <v>284</v>
      </c>
      <c r="C63" s="164"/>
      <c r="D63" s="164"/>
      <c r="E63" s="197"/>
      <c r="F63" s="142">
        <f>[3]тарифы_2016!P58</f>
        <v>33333.333333333336</v>
      </c>
      <c r="G63" s="143">
        <v>0</v>
      </c>
      <c r="H63" s="144">
        <f t="shared" si="23"/>
        <v>33333.333333333336</v>
      </c>
      <c r="I63" s="142">
        <f>SUMIF($L$21:$O$21,$I$21,L63:O63)</f>
        <v>14377.725</v>
      </c>
      <c r="J63" s="143"/>
      <c r="K63" s="214">
        <f>H63-I63-J63</f>
        <v>18955.608333333337</v>
      </c>
      <c r="L63" s="195">
        <f>5667/2</f>
        <v>2833.5</v>
      </c>
      <c r="M63" s="142">
        <f>23088.45*0.5</f>
        <v>11544.225</v>
      </c>
      <c r="N63" s="196"/>
      <c r="O63" s="142"/>
      <c r="P63" s="142">
        <f t="shared" si="27"/>
        <v>14377.725</v>
      </c>
      <c r="Q63" s="142">
        <f>P63-H63</f>
        <v>-18955.608333333337</v>
      </c>
      <c r="R63" s="149" t="s">
        <v>235</v>
      </c>
      <c r="T63" s="151"/>
      <c r="U63" s="149">
        <v>0.47637558213096137</v>
      </c>
      <c r="V63" s="149">
        <v>14.235540509038049</v>
      </c>
      <c r="W63" s="149">
        <v>0.47637558213096137</v>
      </c>
    </row>
    <row r="64" spans="1:34" s="192" customFormat="1" ht="42.75" customHeight="1" outlineLevel="1" x14ac:dyDescent="0.2">
      <c r="A64" s="227" t="s">
        <v>190</v>
      </c>
      <c r="B64" s="228" t="s">
        <v>15</v>
      </c>
      <c r="C64" s="363" t="s">
        <v>289</v>
      </c>
      <c r="D64" s="364"/>
      <c r="E64" s="193"/>
      <c r="F64" s="185">
        <f>[3]тарифы_2016!P59</f>
        <v>1909720.3279999997</v>
      </c>
      <c r="G64" s="186">
        <v>0</v>
      </c>
      <c r="H64" s="187">
        <f t="shared" si="23"/>
        <v>1909720.3279999997</v>
      </c>
      <c r="I64" s="185">
        <f>SUMIF($L$21:$O$21,$I$21,L64:O64)</f>
        <v>1837573.11</v>
      </c>
      <c r="J64" s="186"/>
      <c r="K64" s="229">
        <f>H64-I64-J64</f>
        <v>72147.217999999644</v>
      </c>
      <c r="L64" s="189">
        <v>1550521.7000000002</v>
      </c>
      <c r="M64" s="185">
        <f>152669.33+25000-1213.94</f>
        <v>176455.38999999998</v>
      </c>
      <c r="N64" s="190"/>
      <c r="O64" s="185">
        <f>110596.02</f>
        <v>110596.02</v>
      </c>
      <c r="P64" s="185">
        <f>SUM(L64:O64)</f>
        <v>1837573.11</v>
      </c>
      <c r="Q64" s="185">
        <f>P64-H64</f>
        <v>-72147.217999999644</v>
      </c>
      <c r="R64" s="191"/>
      <c r="S64" s="68"/>
      <c r="T64" s="125"/>
      <c r="U64" s="137">
        <v>19.847712253904373</v>
      </c>
      <c r="V64" s="137">
        <v>593.10955976856121</v>
      </c>
      <c r="W64" s="137">
        <v>19.847712253904373</v>
      </c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</row>
    <row r="65" spans="1:34" s="240" customFormat="1" ht="19.5" customHeight="1" x14ac:dyDescent="0.25">
      <c r="A65" s="275" t="s">
        <v>35</v>
      </c>
      <c r="B65" s="275"/>
      <c r="C65" s="115"/>
      <c r="D65" s="115"/>
      <c r="E65" s="117"/>
      <c r="F65" s="117">
        <v>2644264.5839999998</v>
      </c>
      <c r="G65" s="118">
        <v>0</v>
      </c>
      <c r="H65" s="119">
        <v>2644264.5839999998</v>
      </c>
      <c r="I65" s="131">
        <f>SUM(I66:I67)</f>
        <v>1114408.1455574215</v>
      </c>
      <c r="J65" s="132"/>
      <c r="K65" s="214">
        <f>H65-I65-J65</f>
        <v>1529856.4384425783</v>
      </c>
      <c r="L65" s="135">
        <f>SUM(L66)</f>
        <v>160887.45000000001</v>
      </c>
      <c r="M65" s="135">
        <f>SUM(M66)</f>
        <v>86700.57</v>
      </c>
      <c r="N65" s="235"/>
      <c r="O65" s="131">
        <f>O66+L67</f>
        <v>866820.12555742147</v>
      </c>
      <c r="P65" s="131">
        <f>SUM(L65:O65)</f>
        <v>1114408.1455574215</v>
      </c>
      <c r="Q65" s="131">
        <f>P65-H65</f>
        <v>-1529856.4384425783</v>
      </c>
      <c r="R65" s="123"/>
      <c r="S65" s="236"/>
      <c r="T65" s="237"/>
      <c r="U65" s="238">
        <v>24.74</v>
      </c>
      <c r="V65" s="238">
        <v>817.53</v>
      </c>
      <c r="W65" s="238">
        <v>24.14</v>
      </c>
      <c r="X65" s="239"/>
      <c r="Y65" s="239"/>
      <c r="Z65" s="239"/>
      <c r="AA65" s="239"/>
      <c r="AB65" s="239"/>
      <c r="AC65" s="239"/>
      <c r="AD65" s="239"/>
      <c r="AE65" s="239"/>
      <c r="AF65" s="239"/>
      <c r="AG65" s="239"/>
      <c r="AH65" s="239"/>
    </row>
    <row r="66" spans="1:34" s="240" customFormat="1" ht="29.25" customHeight="1" outlineLevel="1" x14ac:dyDescent="0.2">
      <c r="A66" s="241" t="s">
        <v>290</v>
      </c>
      <c r="B66" s="242" t="s">
        <v>291</v>
      </c>
      <c r="C66" s="243"/>
      <c r="D66" s="243"/>
      <c r="E66" s="131"/>
      <c r="F66" s="131"/>
      <c r="G66" s="132"/>
      <c r="H66" s="244"/>
      <c r="I66" s="131">
        <f>SUMIF($L$21:$O$21,$I$21,L66:O66)</f>
        <v>439830.24</v>
      </c>
      <c r="J66" s="132"/>
      <c r="K66" s="245"/>
      <c r="L66" s="135">
        <f>82767.45+78120</f>
        <v>160887.45000000001</v>
      </c>
      <c r="M66" s="131">
        <f>8580.57+78120</f>
        <v>86700.57</v>
      </c>
      <c r="N66" s="136"/>
      <c r="O66" s="131">
        <f>117673.13+74569.09</f>
        <v>192242.22</v>
      </c>
      <c r="P66" s="131"/>
      <c r="Q66" s="131"/>
      <c r="R66" s="246" t="s">
        <v>292</v>
      </c>
      <c r="S66" s="236"/>
      <c r="T66" s="237"/>
      <c r="U66" s="247"/>
      <c r="V66" s="247"/>
      <c r="W66" s="247"/>
      <c r="X66" s="239"/>
      <c r="Y66" s="239"/>
      <c r="Z66" s="239"/>
      <c r="AA66" s="239"/>
      <c r="AB66" s="239"/>
      <c r="AC66" s="239"/>
      <c r="AD66" s="239"/>
      <c r="AE66" s="239"/>
      <c r="AF66" s="239"/>
      <c r="AG66" s="239"/>
      <c r="AH66" s="239"/>
    </row>
    <row r="67" spans="1:34" s="240" customFormat="1" ht="21.75" customHeight="1" outlineLevel="1" x14ac:dyDescent="0.2">
      <c r="A67" s="241" t="s">
        <v>160</v>
      </c>
      <c r="B67" s="242" t="s">
        <v>293</v>
      </c>
      <c r="C67" s="243"/>
      <c r="D67" s="243"/>
      <c r="E67" s="131"/>
      <c r="F67" s="131"/>
      <c r="G67" s="132"/>
      <c r="H67" s="244"/>
      <c r="I67" s="131">
        <f>SUMIF($L$21:$O$21,$I$21,L67:O67)</f>
        <v>674577.9055574215</v>
      </c>
      <c r="J67" s="132"/>
      <c r="K67" s="245"/>
      <c r="L67" s="351">
        <v>674577.9055574215</v>
      </c>
      <c r="M67" s="352"/>
      <c r="N67" s="352"/>
      <c r="O67" s="353"/>
      <c r="P67" s="131"/>
      <c r="Q67" s="131"/>
      <c r="R67" s="137"/>
      <c r="S67" s="236"/>
      <c r="T67" s="237"/>
      <c r="U67" s="247"/>
      <c r="V67" s="247"/>
      <c r="W67" s="247"/>
      <c r="X67" s="239"/>
      <c r="Y67" s="239"/>
      <c r="Z67" s="239"/>
      <c r="AA67" s="239"/>
      <c r="AB67" s="239"/>
      <c r="AC67" s="239"/>
      <c r="AD67" s="239"/>
      <c r="AE67" s="239"/>
      <c r="AF67" s="239"/>
      <c r="AG67" s="239"/>
      <c r="AH67" s="239"/>
    </row>
    <row r="68" spans="1:34" s="258" customFormat="1" ht="17.25" customHeight="1" thickBot="1" x14ac:dyDescent="0.3">
      <c r="A68" s="338" t="s">
        <v>192</v>
      </c>
      <c r="B68" s="338"/>
      <c r="C68" s="248"/>
      <c r="D68" s="248"/>
      <c r="E68" s="249"/>
      <c r="F68" s="249">
        <f>F65+F23+F22</f>
        <v>11617437.969878266</v>
      </c>
      <c r="G68" s="250">
        <v>0</v>
      </c>
      <c r="H68" s="251">
        <f>H65+H23+H22</f>
        <v>11617437.969878266</v>
      </c>
      <c r="I68" s="252">
        <f t="shared" ref="I68:Q68" si="28">I65+I23+I22</f>
        <v>8966796.1255574208</v>
      </c>
      <c r="J68" s="253"/>
      <c r="K68" s="254">
        <f>K65+K23+K22</f>
        <v>2645202.8443208444</v>
      </c>
      <c r="L68" s="255">
        <f t="shared" si="28"/>
        <v>6252173.6299999999</v>
      </c>
      <c r="M68" s="249">
        <f t="shared" si="28"/>
        <v>1016765.52</v>
      </c>
      <c r="N68" s="256"/>
      <c r="O68" s="249">
        <f t="shared" si="28"/>
        <v>1697856.9755574213</v>
      </c>
      <c r="P68" s="249">
        <f t="shared" si="28"/>
        <v>8966796.1255574208</v>
      </c>
      <c r="Q68" s="249">
        <f t="shared" si="28"/>
        <v>-2650641.8443208444</v>
      </c>
      <c r="R68" s="257"/>
      <c r="S68" s="68"/>
      <c r="T68" s="68"/>
      <c r="U68" s="257">
        <v>109.41426753198142</v>
      </c>
      <c r="V68" s="257">
        <v>3994.5127400252131</v>
      </c>
      <c r="W68" s="257">
        <v>102.09833027512983</v>
      </c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</row>
    <row r="69" spans="1:34" s="63" customFormat="1" ht="6" customHeight="1" x14ac:dyDescent="0.2">
      <c r="A69" s="86"/>
      <c r="C69" s="86"/>
      <c r="D69" s="86"/>
      <c r="E69" s="87"/>
      <c r="L69" s="70"/>
      <c r="M69" s="70"/>
      <c r="N69" s="71"/>
      <c r="O69" s="70"/>
      <c r="P69" s="70"/>
      <c r="Q69" s="70"/>
    </row>
    <row r="70" spans="1:34" s="68" customFormat="1" ht="19.5" customHeight="1" x14ac:dyDescent="0.2">
      <c r="A70" s="339" t="s">
        <v>294</v>
      </c>
      <c r="B70" s="340"/>
      <c r="C70" s="340"/>
      <c r="D70" s="340"/>
      <c r="E70" s="340"/>
      <c r="F70" s="340"/>
      <c r="G70" s="340"/>
      <c r="H70" s="340"/>
      <c r="I70" s="340"/>
      <c r="J70" s="341"/>
      <c r="K70" s="185">
        <f>K22+K35+K26+K29+K30+K34+K41+K48+K50+K53+K54+K57+K58+K61+K64</f>
        <v>1130163.7632115996</v>
      </c>
      <c r="L70" s="342" t="s">
        <v>295</v>
      </c>
      <c r="M70" s="342"/>
      <c r="N70" s="342"/>
      <c r="O70" s="342"/>
      <c r="P70" s="342"/>
      <c r="Q70" s="342"/>
      <c r="R70" s="342"/>
      <c r="V70" s="233"/>
    </row>
    <row r="71" spans="1:34" s="68" customFormat="1" ht="19.5" customHeight="1" x14ac:dyDescent="0.2">
      <c r="A71" s="343" t="s">
        <v>296</v>
      </c>
      <c r="B71" s="344"/>
      <c r="C71" s="344"/>
      <c r="D71" s="344"/>
      <c r="E71" s="344"/>
      <c r="F71" s="344"/>
      <c r="G71" s="344"/>
      <c r="H71" s="344"/>
      <c r="I71" s="344"/>
      <c r="J71" s="345"/>
      <c r="K71" s="131">
        <f>K68-K70</f>
        <v>1515039.0811092448</v>
      </c>
      <c r="L71" s="346"/>
      <c r="M71" s="346"/>
      <c r="N71" s="346"/>
      <c r="O71" s="346"/>
      <c r="P71" s="346"/>
      <c r="Q71" s="346"/>
      <c r="R71" s="346"/>
      <c r="V71" s="233"/>
    </row>
    <row r="72" spans="1:34" s="68" customFormat="1" ht="19.5" customHeight="1" x14ac:dyDescent="0.2">
      <c r="A72" s="347" t="s">
        <v>297</v>
      </c>
      <c r="B72" s="348"/>
      <c r="C72" s="348"/>
      <c r="D72" s="348"/>
      <c r="E72" s="348"/>
      <c r="F72" s="348"/>
      <c r="G72" s="348"/>
      <c r="H72" s="348"/>
      <c r="I72" s="348"/>
      <c r="J72" s="349"/>
      <c r="K72" s="259">
        <f>K71-K73</f>
        <v>-14817.357333333464</v>
      </c>
      <c r="L72" s="350" t="s">
        <v>298</v>
      </c>
      <c r="M72" s="350"/>
      <c r="N72" s="350"/>
      <c r="O72" s="350"/>
      <c r="P72" s="350"/>
      <c r="Q72" s="350"/>
      <c r="R72" s="350"/>
      <c r="V72" s="233"/>
    </row>
    <row r="73" spans="1:34" s="68" customFormat="1" ht="19.5" customHeight="1" x14ac:dyDescent="0.2">
      <c r="A73" s="328" t="s">
        <v>299</v>
      </c>
      <c r="B73" s="329"/>
      <c r="C73" s="329"/>
      <c r="D73" s="329"/>
      <c r="E73" s="329"/>
      <c r="F73" s="329"/>
      <c r="G73" s="329"/>
      <c r="H73" s="329"/>
      <c r="I73" s="329"/>
      <c r="J73" s="330"/>
      <c r="K73" s="142">
        <f>K65</f>
        <v>1529856.4384425783</v>
      </c>
      <c r="L73" s="331"/>
      <c r="M73" s="331"/>
      <c r="N73" s="331"/>
      <c r="O73" s="331"/>
      <c r="P73" s="331"/>
      <c r="Q73" s="331"/>
      <c r="R73" s="331"/>
      <c r="V73" s="233"/>
    </row>
    <row r="74" spans="1:34" s="63" customFormat="1" ht="12.75" x14ac:dyDescent="0.2">
      <c r="A74" s="332" t="s">
        <v>300</v>
      </c>
      <c r="B74" s="333"/>
      <c r="C74" s="333"/>
      <c r="D74" s="333"/>
      <c r="E74" s="333"/>
      <c r="F74" s="333"/>
      <c r="G74" s="333"/>
      <c r="H74" s="333"/>
      <c r="I74" s="334"/>
      <c r="J74" s="260"/>
      <c r="K74" s="261">
        <v>1517394.61</v>
      </c>
      <c r="L74" s="262"/>
      <c r="M74" s="262"/>
      <c r="N74" s="263"/>
      <c r="O74" s="262"/>
      <c r="P74" s="262"/>
      <c r="Q74" s="262"/>
      <c r="R74" s="264"/>
      <c r="V74" s="70"/>
    </row>
    <row r="75" spans="1:34" s="63" customFormat="1" ht="12.75" x14ac:dyDescent="0.2">
      <c r="A75" s="335" t="s">
        <v>301</v>
      </c>
      <c r="B75" s="336"/>
      <c r="C75" s="336"/>
      <c r="D75" s="336"/>
      <c r="E75" s="336"/>
      <c r="F75" s="336"/>
      <c r="G75" s="336"/>
      <c r="H75" s="336"/>
      <c r="I75" s="337"/>
      <c r="J75" s="265"/>
      <c r="K75" s="261">
        <v>1453524.75</v>
      </c>
      <c r="L75" s="262"/>
      <c r="M75" s="262"/>
      <c r="N75" s="263"/>
      <c r="O75" s="262"/>
      <c r="P75" s="262"/>
      <c r="Q75" s="262"/>
      <c r="R75" s="264"/>
      <c r="V75" s="70"/>
    </row>
    <row r="76" spans="1:34" s="63" customFormat="1" ht="12.75" x14ac:dyDescent="0.2">
      <c r="A76" s="86"/>
      <c r="C76" s="86"/>
      <c r="D76" s="86"/>
      <c r="E76" s="87"/>
      <c r="L76" s="70"/>
      <c r="M76" s="70"/>
      <c r="N76" s="71"/>
      <c r="O76" s="70"/>
      <c r="P76" s="70"/>
      <c r="Q76" s="70"/>
    </row>
    <row r="77" spans="1:34" s="63" customFormat="1" ht="12.75" x14ac:dyDescent="0.2">
      <c r="A77" s="86"/>
      <c r="C77" s="86"/>
      <c r="D77" s="86"/>
      <c r="E77" s="87"/>
      <c r="L77" s="70"/>
      <c r="M77" s="70"/>
      <c r="N77" s="71"/>
      <c r="O77" s="70"/>
      <c r="P77" s="70"/>
      <c r="Q77" s="70"/>
    </row>
    <row r="78" spans="1:34" s="63" customFormat="1" ht="12.75" x14ac:dyDescent="0.2">
      <c r="A78" s="86"/>
      <c r="C78" s="86"/>
      <c r="D78" s="86"/>
      <c r="E78" s="87"/>
      <c r="L78" s="70"/>
      <c r="M78" s="70"/>
      <c r="N78" s="71"/>
      <c r="O78" s="70"/>
      <c r="P78" s="70"/>
      <c r="Q78" s="70"/>
    </row>
    <row r="79" spans="1:34" s="63" customFormat="1" ht="12.75" x14ac:dyDescent="0.2">
      <c r="A79" s="86"/>
      <c r="C79" s="86"/>
      <c r="D79" s="86"/>
      <c r="E79" s="87"/>
      <c r="L79" s="70"/>
      <c r="M79" s="70"/>
      <c r="N79" s="71"/>
      <c r="O79" s="70"/>
      <c r="P79" s="70"/>
      <c r="Q79" s="70"/>
    </row>
    <row r="80" spans="1:34" s="63" customFormat="1" ht="12.75" x14ac:dyDescent="0.2">
      <c r="A80" s="86"/>
      <c r="C80" s="86"/>
      <c r="D80" s="86"/>
      <c r="E80" s="87"/>
      <c r="L80" s="70"/>
      <c r="M80" s="70"/>
      <c r="N80" s="71"/>
      <c r="O80" s="70"/>
      <c r="P80" s="70"/>
      <c r="Q80" s="70"/>
    </row>
    <row r="81" spans="1:18" s="63" customFormat="1" ht="12.75" x14ac:dyDescent="0.2">
      <c r="A81" s="86"/>
      <c r="C81" s="86"/>
      <c r="D81" s="86"/>
      <c r="E81" s="87"/>
      <c r="L81" s="70"/>
      <c r="M81" s="70"/>
      <c r="N81" s="71"/>
      <c r="O81" s="70"/>
      <c r="P81" s="70"/>
      <c r="Q81" s="70"/>
    </row>
    <row r="82" spans="1:18" s="63" customFormat="1" x14ac:dyDescent="0.2">
      <c r="A82" s="86"/>
      <c r="C82" s="86"/>
      <c r="D82" s="86"/>
      <c r="E82" s="87"/>
      <c r="I82" s="70">
        <f>H68-I68</f>
        <v>2650641.8443208449</v>
      </c>
      <c r="L82" s="266"/>
      <c r="M82" s="267"/>
      <c r="N82" s="268"/>
      <c r="O82" s="267"/>
      <c r="P82" s="267"/>
      <c r="Q82" s="266"/>
      <c r="R82" s="73"/>
    </row>
    <row r="83" spans="1:18" s="63" customFormat="1" ht="12.75" x14ac:dyDescent="0.2">
      <c r="A83" s="86"/>
      <c r="C83" s="86"/>
      <c r="D83" s="86"/>
      <c r="E83" s="87"/>
      <c r="L83" s="266"/>
      <c r="M83" s="266"/>
      <c r="N83" s="269"/>
      <c r="O83" s="266"/>
      <c r="P83" s="266"/>
      <c r="Q83" s="266"/>
      <c r="R83" s="73"/>
    </row>
    <row r="84" spans="1:18" s="63" customFormat="1" ht="12.75" x14ac:dyDescent="0.2">
      <c r="A84" s="86"/>
      <c r="C84" s="86"/>
      <c r="D84" s="86"/>
      <c r="E84" s="87"/>
      <c r="L84" s="70"/>
      <c r="M84" s="70"/>
      <c r="N84" s="71"/>
      <c r="O84" s="70"/>
      <c r="P84" s="70"/>
      <c r="Q84" s="70"/>
    </row>
    <row r="85" spans="1:18" s="63" customFormat="1" ht="12.75" x14ac:dyDescent="0.2">
      <c r="A85" s="86"/>
      <c r="C85" s="86"/>
      <c r="D85" s="86"/>
      <c r="E85" s="87"/>
      <c r="L85" s="70"/>
      <c r="M85" s="70"/>
      <c r="N85" s="71"/>
      <c r="O85" s="70"/>
      <c r="P85" s="70"/>
      <c r="Q85" s="70"/>
    </row>
    <row r="86" spans="1:18" s="63" customFormat="1" ht="12.75" x14ac:dyDescent="0.2">
      <c r="A86" s="86"/>
      <c r="C86" s="86"/>
      <c r="D86" s="86"/>
      <c r="E86" s="87"/>
      <c r="L86" s="70"/>
      <c r="M86" s="70"/>
      <c r="N86" s="71"/>
      <c r="O86" s="70"/>
      <c r="P86" s="70"/>
      <c r="Q86" s="70"/>
    </row>
    <row r="87" spans="1:18" s="63" customFormat="1" ht="12.75" x14ac:dyDescent="0.2">
      <c r="A87" s="86"/>
      <c r="C87" s="86"/>
      <c r="D87" s="86"/>
      <c r="E87" s="87"/>
      <c r="L87" s="70"/>
      <c r="M87" s="70"/>
      <c r="N87" s="71"/>
      <c r="O87" s="70"/>
      <c r="P87" s="70"/>
      <c r="Q87" s="70"/>
    </row>
    <row r="88" spans="1:18" s="63" customFormat="1" ht="12.75" x14ac:dyDescent="0.2">
      <c r="A88" s="86"/>
      <c r="C88" s="86"/>
      <c r="D88" s="86"/>
      <c r="E88" s="87"/>
      <c r="L88" s="70"/>
      <c r="M88" s="70"/>
      <c r="N88" s="71"/>
      <c r="O88" s="70"/>
      <c r="P88" s="70"/>
      <c r="Q88" s="70"/>
    </row>
    <row r="89" spans="1:18" s="63" customFormat="1" ht="12.75" x14ac:dyDescent="0.2">
      <c r="A89" s="86"/>
      <c r="C89" s="86"/>
      <c r="D89" s="86"/>
      <c r="E89" s="87"/>
      <c r="L89" s="70"/>
      <c r="M89" s="70"/>
      <c r="N89" s="71"/>
      <c r="O89" s="70"/>
      <c r="P89" s="70"/>
      <c r="Q89" s="70"/>
    </row>
    <row r="90" spans="1:18" s="63" customFormat="1" ht="12.75" x14ac:dyDescent="0.2">
      <c r="A90" s="86"/>
      <c r="C90" s="86"/>
      <c r="D90" s="86"/>
      <c r="E90" s="87"/>
      <c r="L90" s="70"/>
      <c r="M90" s="70"/>
      <c r="N90" s="71"/>
      <c r="O90" s="70"/>
      <c r="P90" s="70"/>
      <c r="Q90" s="70"/>
    </row>
    <row r="91" spans="1:18" s="63" customFormat="1" ht="12.75" x14ac:dyDescent="0.2">
      <c r="A91" s="86"/>
      <c r="C91" s="86"/>
      <c r="D91" s="86"/>
      <c r="E91" s="87"/>
      <c r="L91" s="70"/>
      <c r="M91" s="70"/>
      <c r="N91" s="71"/>
      <c r="O91" s="70"/>
      <c r="P91" s="70"/>
      <c r="Q91" s="70"/>
    </row>
    <row r="92" spans="1:18" s="63" customFormat="1" ht="12.75" x14ac:dyDescent="0.2">
      <c r="A92" s="86"/>
      <c r="C92" s="86"/>
      <c r="D92" s="86"/>
      <c r="E92" s="87"/>
      <c r="L92" s="70"/>
      <c r="M92" s="70"/>
      <c r="N92" s="71"/>
      <c r="O92" s="70"/>
      <c r="P92" s="70"/>
      <c r="Q92" s="70"/>
    </row>
    <row r="93" spans="1:18" s="63" customFormat="1" ht="12.75" x14ac:dyDescent="0.2">
      <c r="A93" s="86"/>
      <c r="C93" s="86"/>
      <c r="D93" s="86"/>
      <c r="E93" s="87"/>
      <c r="L93" s="70"/>
      <c r="M93" s="70"/>
      <c r="N93" s="71"/>
      <c r="O93" s="70"/>
      <c r="P93" s="70"/>
      <c r="Q93" s="70"/>
    </row>
    <row r="94" spans="1:18" s="73" customFormat="1" ht="12.75" x14ac:dyDescent="0.2">
      <c r="A94" s="270"/>
      <c r="B94" s="271"/>
      <c r="C94" s="270"/>
      <c r="D94" s="270"/>
      <c r="E94" s="272"/>
      <c r="L94" s="266"/>
      <c r="M94" s="266"/>
      <c r="N94" s="269"/>
      <c r="O94" s="266"/>
      <c r="P94" s="266"/>
      <c r="Q94" s="266"/>
    </row>
    <row r="95" spans="1:18" s="73" customFormat="1" ht="12.75" x14ac:dyDescent="0.2">
      <c r="A95" s="270"/>
      <c r="C95" s="270"/>
      <c r="D95" s="270"/>
      <c r="E95" s="272"/>
      <c r="L95" s="266"/>
      <c r="M95" s="266"/>
      <c r="N95" s="269"/>
      <c r="O95" s="266"/>
      <c r="P95" s="266"/>
      <c r="Q95" s="266"/>
    </row>
    <row r="96" spans="1:18" s="73" customFormat="1" ht="12.75" x14ac:dyDescent="0.2">
      <c r="A96" s="270"/>
      <c r="C96" s="270"/>
      <c r="D96" s="270"/>
      <c r="E96" s="272"/>
      <c r="L96" s="266"/>
      <c r="M96" s="266"/>
      <c r="N96" s="269"/>
      <c r="O96" s="266"/>
      <c r="P96" s="266"/>
      <c r="Q96" s="266"/>
    </row>
    <row r="97" spans="1:17" s="73" customFormat="1" ht="12.75" x14ac:dyDescent="0.2">
      <c r="A97" s="270"/>
      <c r="C97" s="270"/>
      <c r="D97" s="270"/>
      <c r="E97" s="272"/>
      <c r="L97" s="266"/>
      <c r="M97" s="266"/>
      <c r="N97" s="269"/>
      <c r="O97" s="266"/>
      <c r="P97" s="266"/>
      <c r="Q97" s="266"/>
    </row>
    <row r="98" spans="1:17" s="73" customFormat="1" ht="12.75" x14ac:dyDescent="0.2">
      <c r="A98" s="270"/>
      <c r="C98" s="270"/>
      <c r="D98" s="270"/>
      <c r="E98" s="272"/>
      <c r="L98" s="266"/>
      <c r="M98" s="266"/>
      <c r="N98" s="269"/>
      <c r="O98" s="266"/>
      <c r="P98" s="266"/>
      <c r="Q98" s="266"/>
    </row>
    <row r="99" spans="1:17" s="73" customFormat="1" ht="12.75" x14ac:dyDescent="0.2">
      <c r="A99" s="270"/>
      <c r="C99" s="270"/>
      <c r="D99" s="270"/>
      <c r="E99" s="272"/>
      <c r="L99" s="266"/>
      <c r="M99" s="266"/>
      <c r="N99" s="269"/>
      <c r="O99" s="266"/>
      <c r="P99" s="266"/>
      <c r="Q99" s="266"/>
    </row>
    <row r="100" spans="1:17" s="73" customFormat="1" ht="12.75" x14ac:dyDescent="0.2">
      <c r="A100" s="270"/>
      <c r="C100" s="270"/>
      <c r="D100" s="270"/>
      <c r="E100" s="272"/>
      <c r="L100" s="266"/>
      <c r="M100" s="266"/>
      <c r="N100" s="269"/>
      <c r="O100" s="266"/>
      <c r="P100" s="266"/>
      <c r="Q100" s="266"/>
    </row>
    <row r="101" spans="1:17" s="73" customFormat="1" ht="12.75" x14ac:dyDescent="0.2">
      <c r="A101" s="270"/>
      <c r="C101" s="270"/>
      <c r="D101" s="270"/>
      <c r="E101" s="272"/>
      <c r="L101" s="266"/>
      <c r="M101" s="266"/>
      <c r="N101" s="269"/>
      <c r="O101" s="266"/>
      <c r="P101" s="266"/>
      <c r="Q101" s="266"/>
    </row>
    <row r="102" spans="1:17" s="73" customFormat="1" ht="12.75" x14ac:dyDescent="0.2">
      <c r="A102" s="270"/>
      <c r="C102" s="270"/>
      <c r="D102" s="270"/>
      <c r="E102" s="272"/>
      <c r="L102" s="266"/>
      <c r="M102" s="266"/>
      <c r="N102" s="269"/>
      <c r="O102" s="266"/>
      <c r="P102" s="266"/>
      <c r="Q102" s="266"/>
    </row>
    <row r="103" spans="1:17" s="73" customFormat="1" ht="12.75" x14ac:dyDescent="0.2">
      <c r="A103" s="270"/>
      <c r="C103" s="270"/>
      <c r="D103" s="270"/>
      <c r="E103" s="272"/>
      <c r="L103" s="266"/>
      <c r="M103" s="266"/>
      <c r="N103" s="269"/>
      <c r="O103" s="266"/>
      <c r="P103" s="266"/>
      <c r="Q103" s="266"/>
    </row>
    <row r="104" spans="1:17" s="73" customFormat="1" ht="12.75" x14ac:dyDescent="0.2">
      <c r="A104" s="270"/>
      <c r="C104" s="270"/>
      <c r="D104" s="270"/>
      <c r="E104" s="272"/>
      <c r="L104" s="266"/>
      <c r="M104" s="266"/>
      <c r="N104" s="269"/>
      <c r="O104" s="266"/>
      <c r="P104" s="266"/>
      <c r="Q104" s="266"/>
    </row>
    <row r="105" spans="1:17" s="73" customFormat="1" ht="12.75" x14ac:dyDescent="0.2">
      <c r="A105" s="270"/>
      <c r="C105" s="270"/>
      <c r="D105" s="270"/>
      <c r="E105" s="272"/>
      <c r="L105" s="266"/>
      <c r="M105" s="266"/>
      <c r="N105" s="269"/>
      <c r="O105" s="266"/>
      <c r="P105" s="266"/>
      <c r="Q105" s="266"/>
    </row>
    <row r="106" spans="1:17" s="73" customFormat="1" ht="12.75" x14ac:dyDescent="0.2">
      <c r="A106" s="270"/>
      <c r="C106" s="270"/>
      <c r="D106" s="270"/>
      <c r="E106" s="272"/>
      <c r="L106" s="266"/>
      <c r="M106" s="266"/>
      <c r="N106" s="269"/>
      <c r="O106" s="266"/>
      <c r="P106" s="266"/>
      <c r="Q106" s="266"/>
    </row>
    <row r="107" spans="1:17" s="73" customFormat="1" ht="12.75" x14ac:dyDescent="0.2">
      <c r="A107" s="270"/>
      <c r="C107" s="270"/>
      <c r="D107" s="270"/>
      <c r="E107" s="272"/>
      <c r="L107" s="266"/>
      <c r="M107" s="266"/>
      <c r="N107" s="269"/>
      <c r="O107" s="266"/>
      <c r="P107" s="266"/>
      <c r="Q107" s="266"/>
    </row>
    <row r="108" spans="1:17" s="73" customFormat="1" ht="12.75" x14ac:dyDescent="0.2">
      <c r="A108" s="270"/>
      <c r="C108" s="270"/>
      <c r="D108" s="270"/>
      <c r="E108" s="272"/>
      <c r="L108" s="266"/>
      <c r="M108" s="266"/>
      <c r="N108" s="269"/>
      <c r="O108" s="266"/>
      <c r="P108" s="266"/>
      <c r="Q108" s="266"/>
    </row>
    <row r="109" spans="1:17" s="73" customFormat="1" ht="12.75" x14ac:dyDescent="0.2">
      <c r="A109" s="270"/>
      <c r="C109" s="270"/>
      <c r="D109" s="270"/>
      <c r="E109" s="272"/>
      <c r="L109" s="266"/>
      <c r="M109" s="266"/>
      <c r="N109" s="269"/>
      <c r="O109" s="266"/>
      <c r="P109" s="266"/>
      <c r="Q109" s="266"/>
    </row>
    <row r="110" spans="1:17" s="73" customFormat="1" ht="12.75" x14ac:dyDescent="0.2">
      <c r="A110" s="270"/>
      <c r="C110" s="270"/>
      <c r="D110" s="270"/>
      <c r="E110" s="272"/>
      <c r="L110" s="266"/>
      <c r="M110" s="266"/>
      <c r="N110" s="269"/>
      <c r="O110" s="266"/>
      <c r="P110" s="266"/>
      <c r="Q110" s="266"/>
    </row>
    <row r="111" spans="1:17" s="73" customFormat="1" ht="12.75" x14ac:dyDescent="0.2">
      <c r="A111" s="270"/>
      <c r="C111" s="270"/>
      <c r="D111" s="270"/>
      <c r="E111" s="272"/>
      <c r="L111" s="266"/>
      <c r="M111" s="266"/>
      <c r="N111" s="269"/>
      <c r="O111" s="266"/>
      <c r="P111" s="266"/>
      <c r="Q111" s="266"/>
    </row>
    <row r="112" spans="1:17" s="73" customFormat="1" ht="12.75" x14ac:dyDescent="0.2">
      <c r="A112" s="270"/>
      <c r="C112" s="270"/>
      <c r="D112" s="270"/>
      <c r="E112" s="272"/>
      <c r="L112" s="266"/>
      <c r="M112" s="266"/>
      <c r="N112" s="269"/>
      <c r="O112" s="266"/>
      <c r="P112" s="266"/>
      <c r="Q112" s="266"/>
    </row>
    <row r="113" spans="1:17" s="73" customFormat="1" ht="12.75" x14ac:dyDescent="0.2">
      <c r="A113" s="270"/>
      <c r="C113" s="270"/>
      <c r="D113" s="270"/>
      <c r="E113" s="272"/>
      <c r="L113" s="266"/>
      <c r="M113" s="266"/>
      <c r="N113" s="269"/>
      <c r="O113" s="266"/>
      <c r="P113" s="266"/>
      <c r="Q113" s="266"/>
    </row>
    <row r="114" spans="1:17" s="73" customFormat="1" ht="12.75" x14ac:dyDescent="0.2">
      <c r="A114" s="270"/>
      <c r="C114" s="270"/>
      <c r="D114" s="270"/>
      <c r="E114" s="272"/>
      <c r="L114" s="266"/>
      <c r="M114" s="266"/>
      <c r="N114" s="269"/>
      <c r="O114" s="266"/>
      <c r="P114" s="266"/>
      <c r="Q114" s="266"/>
    </row>
    <row r="115" spans="1:17" s="73" customFormat="1" ht="12.75" x14ac:dyDescent="0.2">
      <c r="A115" s="270"/>
      <c r="C115" s="270"/>
      <c r="D115" s="270"/>
      <c r="E115" s="272"/>
      <c r="L115" s="266"/>
      <c r="M115" s="266"/>
      <c r="N115" s="269"/>
      <c r="O115" s="266"/>
      <c r="P115" s="266"/>
      <c r="Q115" s="266"/>
    </row>
    <row r="116" spans="1:17" s="73" customFormat="1" ht="12.75" x14ac:dyDescent="0.2">
      <c r="A116" s="270"/>
      <c r="C116" s="270"/>
      <c r="D116" s="270"/>
      <c r="E116" s="272"/>
      <c r="L116" s="266"/>
      <c r="M116" s="266"/>
      <c r="N116" s="269"/>
      <c r="O116" s="266"/>
      <c r="P116" s="266"/>
      <c r="Q116" s="266"/>
    </row>
    <row r="117" spans="1:17" s="73" customFormat="1" ht="12.75" x14ac:dyDescent="0.2">
      <c r="A117" s="270"/>
      <c r="C117" s="270"/>
      <c r="D117" s="270"/>
      <c r="E117" s="272"/>
      <c r="L117" s="266"/>
      <c r="M117" s="266"/>
      <c r="N117" s="269"/>
      <c r="O117" s="266"/>
      <c r="P117" s="266"/>
      <c r="Q117" s="266"/>
    </row>
    <row r="118" spans="1:17" s="73" customFormat="1" ht="12.75" x14ac:dyDescent="0.2">
      <c r="A118" s="270"/>
      <c r="C118" s="270"/>
      <c r="D118" s="270"/>
      <c r="E118" s="272"/>
      <c r="L118" s="266"/>
      <c r="M118" s="266"/>
      <c r="N118" s="269"/>
      <c r="O118" s="266"/>
      <c r="P118" s="266"/>
      <c r="Q118" s="266"/>
    </row>
    <row r="119" spans="1:17" s="73" customFormat="1" ht="12.75" x14ac:dyDescent="0.2">
      <c r="A119" s="270"/>
      <c r="C119" s="270"/>
      <c r="D119" s="270"/>
      <c r="E119" s="272"/>
      <c r="L119" s="266"/>
      <c r="M119" s="266"/>
      <c r="N119" s="269"/>
      <c r="O119" s="266"/>
      <c r="P119" s="266"/>
      <c r="Q119" s="266"/>
    </row>
    <row r="120" spans="1:17" s="73" customFormat="1" ht="12.75" x14ac:dyDescent="0.2">
      <c r="A120" s="270"/>
      <c r="C120" s="270"/>
      <c r="D120" s="270"/>
      <c r="E120" s="272"/>
      <c r="L120" s="266"/>
      <c r="M120" s="266"/>
      <c r="N120" s="269"/>
      <c r="O120" s="266"/>
      <c r="P120" s="266"/>
      <c r="Q120" s="266"/>
    </row>
    <row r="121" spans="1:17" s="73" customFormat="1" ht="12.75" x14ac:dyDescent="0.2">
      <c r="A121" s="270"/>
      <c r="C121" s="270"/>
      <c r="D121" s="270"/>
      <c r="E121" s="272"/>
      <c r="L121" s="266"/>
      <c r="M121" s="266"/>
      <c r="N121" s="269"/>
      <c r="O121" s="266"/>
      <c r="P121" s="266"/>
      <c r="Q121" s="266"/>
    </row>
    <row r="122" spans="1:17" s="73" customFormat="1" ht="12.75" x14ac:dyDescent="0.2">
      <c r="A122" s="270"/>
      <c r="C122" s="270"/>
      <c r="D122" s="270"/>
      <c r="E122" s="272"/>
      <c r="L122" s="266"/>
      <c r="M122" s="266"/>
      <c r="N122" s="269"/>
      <c r="O122" s="266"/>
      <c r="P122" s="266"/>
      <c r="Q122" s="266"/>
    </row>
    <row r="123" spans="1:17" s="73" customFormat="1" ht="12.75" x14ac:dyDescent="0.2">
      <c r="A123" s="270"/>
      <c r="C123" s="270"/>
      <c r="D123" s="270"/>
      <c r="E123" s="272"/>
      <c r="L123" s="266"/>
      <c r="M123" s="266"/>
      <c r="N123" s="269"/>
      <c r="O123" s="266"/>
      <c r="P123" s="266"/>
      <c r="Q123" s="266"/>
    </row>
    <row r="124" spans="1:17" s="73" customFormat="1" ht="12.75" x14ac:dyDescent="0.2">
      <c r="A124" s="270"/>
      <c r="C124" s="270"/>
      <c r="D124" s="270"/>
      <c r="E124" s="272"/>
      <c r="L124" s="266"/>
      <c r="M124" s="266"/>
      <c r="N124" s="269"/>
      <c r="O124" s="266"/>
      <c r="P124" s="266"/>
      <c r="Q124" s="266"/>
    </row>
    <row r="125" spans="1:17" s="73" customFormat="1" ht="12.75" x14ac:dyDescent="0.2">
      <c r="A125" s="270"/>
      <c r="C125" s="270"/>
      <c r="D125" s="270"/>
      <c r="E125" s="272"/>
      <c r="L125" s="266"/>
      <c r="M125" s="266"/>
      <c r="N125" s="269"/>
      <c r="O125" s="266"/>
      <c r="P125" s="266"/>
      <c r="Q125" s="266"/>
    </row>
    <row r="126" spans="1:17" s="73" customFormat="1" ht="12.75" x14ac:dyDescent="0.2">
      <c r="A126" s="270"/>
      <c r="C126" s="270"/>
      <c r="D126" s="270"/>
      <c r="E126" s="272"/>
      <c r="L126" s="266"/>
      <c r="M126" s="266"/>
      <c r="N126" s="269"/>
      <c r="O126" s="266"/>
      <c r="P126" s="266"/>
      <c r="Q126" s="266"/>
    </row>
    <row r="127" spans="1:17" s="73" customFormat="1" ht="12.75" x14ac:dyDescent="0.2">
      <c r="A127" s="270"/>
      <c r="C127" s="270"/>
      <c r="D127" s="270"/>
      <c r="E127" s="272"/>
      <c r="L127" s="266"/>
      <c r="M127" s="266"/>
      <c r="N127" s="269"/>
      <c r="O127" s="266"/>
      <c r="P127" s="266"/>
      <c r="Q127" s="266"/>
    </row>
    <row r="128" spans="1:17" s="73" customFormat="1" ht="12.75" x14ac:dyDescent="0.2">
      <c r="A128" s="270"/>
      <c r="C128" s="270"/>
      <c r="D128" s="270"/>
      <c r="E128" s="272"/>
      <c r="L128" s="266"/>
      <c r="M128" s="266"/>
      <c r="N128" s="269"/>
      <c r="O128" s="266"/>
      <c r="P128" s="266"/>
      <c r="Q128" s="266"/>
    </row>
    <row r="129" spans="1:17" s="73" customFormat="1" ht="12.75" x14ac:dyDescent="0.2">
      <c r="A129" s="270"/>
      <c r="C129" s="270"/>
      <c r="D129" s="270"/>
      <c r="E129" s="272"/>
      <c r="L129" s="266"/>
      <c r="M129" s="266"/>
      <c r="N129" s="269"/>
      <c r="O129" s="266"/>
      <c r="P129" s="266"/>
      <c r="Q129" s="266"/>
    </row>
    <row r="130" spans="1:17" s="73" customFormat="1" ht="12.75" x14ac:dyDescent="0.2">
      <c r="A130" s="270"/>
      <c r="C130" s="270"/>
      <c r="D130" s="270"/>
      <c r="E130" s="272"/>
      <c r="L130" s="266"/>
      <c r="M130" s="266"/>
      <c r="N130" s="269"/>
      <c r="O130" s="266"/>
      <c r="P130" s="266"/>
      <c r="Q130" s="266"/>
    </row>
    <row r="131" spans="1:17" s="73" customFormat="1" ht="12.75" x14ac:dyDescent="0.2">
      <c r="A131" s="270"/>
      <c r="C131" s="270"/>
      <c r="D131" s="270"/>
      <c r="E131" s="272"/>
      <c r="L131" s="266"/>
      <c r="M131" s="266"/>
      <c r="N131" s="269"/>
      <c r="O131" s="266"/>
      <c r="P131" s="266"/>
      <c r="Q131" s="266"/>
    </row>
    <row r="132" spans="1:17" s="73" customFormat="1" ht="12.75" x14ac:dyDescent="0.2">
      <c r="A132" s="270"/>
      <c r="C132" s="270"/>
      <c r="D132" s="270"/>
      <c r="E132" s="272"/>
      <c r="L132" s="266"/>
      <c r="M132" s="266"/>
      <c r="N132" s="269"/>
      <c r="O132" s="266"/>
      <c r="P132" s="266"/>
      <c r="Q132" s="266"/>
    </row>
    <row r="133" spans="1:17" s="73" customFormat="1" ht="12.75" x14ac:dyDescent="0.2">
      <c r="A133" s="270"/>
      <c r="C133" s="270"/>
      <c r="D133" s="270"/>
      <c r="E133" s="272"/>
      <c r="L133" s="266"/>
      <c r="M133" s="266"/>
      <c r="N133" s="269"/>
      <c r="O133" s="266"/>
      <c r="P133" s="266"/>
      <c r="Q133" s="266"/>
    </row>
    <row r="134" spans="1:17" s="73" customFormat="1" ht="12.75" x14ac:dyDescent="0.2">
      <c r="A134" s="270"/>
      <c r="C134" s="270"/>
      <c r="D134" s="270"/>
      <c r="E134" s="272"/>
      <c r="L134" s="266"/>
      <c r="M134" s="266"/>
      <c r="N134" s="269"/>
      <c r="O134" s="266"/>
      <c r="P134" s="266"/>
      <c r="Q134" s="266"/>
    </row>
    <row r="135" spans="1:17" s="73" customFormat="1" ht="12.75" x14ac:dyDescent="0.2">
      <c r="A135" s="270"/>
      <c r="C135" s="270"/>
      <c r="D135" s="270"/>
      <c r="E135" s="272"/>
      <c r="L135" s="266"/>
      <c r="M135" s="266"/>
      <c r="N135" s="269"/>
      <c r="O135" s="266"/>
      <c r="P135" s="266"/>
      <c r="Q135" s="266"/>
    </row>
    <row r="136" spans="1:17" s="73" customFormat="1" ht="12.75" x14ac:dyDescent="0.2">
      <c r="A136" s="270"/>
      <c r="C136" s="270"/>
      <c r="D136" s="270"/>
      <c r="E136" s="272"/>
      <c r="L136" s="266"/>
      <c r="M136" s="266"/>
      <c r="N136" s="269"/>
      <c r="O136" s="266"/>
      <c r="P136" s="266"/>
      <c r="Q136" s="266"/>
    </row>
    <row r="137" spans="1:17" s="73" customFormat="1" ht="12.75" x14ac:dyDescent="0.2">
      <c r="A137" s="270"/>
      <c r="C137" s="270"/>
      <c r="D137" s="270"/>
      <c r="E137" s="272"/>
      <c r="L137" s="266"/>
      <c r="M137" s="266"/>
      <c r="N137" s="269"/>
      <c r="O137" s="266"/>
      <c r="P137" s="266"/>
      <c r="Q137" s="266"/>
    </row>
    <row r="138" spans="1:17" s="73" customFormat="1" ht="12.75" x14ac:dyDescent="0.2">
      <c r="A138" s="270"/>
      <c r="C138" s="270"/>
      <c r="D138" s="270"/>
      <c r="E138" s="272"/>
      <c r="L138" s="266"/>
      <c r="M138" s="266"/>
      <c r="N138" s="269"/>
      <c r="O138" s="266"/>
      <c r="P138" s="266"/>
      <c r="Q138" s="266"/>
    </row>
    <row r="139" spans="1:17" s="73" customFormat="1" ht="12.75" x14ac:dyDescent="0.2">
      <c r="A139" s="270"/>
      <c r="C139" s="270"/>
      <c r="D139" s="270"/>
      <c r="E139" s="272"/>
      <c r="L139" s="266"/>
      <c r="M139" s="266"/>
      <c r="N139" s="269"/>
      <c r="O139" s="266"/>
      <c r="P139" s="266"/>
      <c r="Q139" s="266"/>
    </row>
    <row r="140" spans="1:17" s="73" customFormat="1" ht="12.75" x14ac:dyDescent="0.2">
      <c r="A140" s="270"/>
      <c r="C140" s="270"/>
      <c r="D140" s="270"/>
      <c r="E140" s="272"/>
      <c r="L140" s="266"/>
      <c r="M140" s="266"/>
      <c r="N140" s="269"/>
      <c r="O140" s="266"/>
      <c r="P140" s="266"/>
      <c r="Q140" s="266"/>
    </row>
    <row r="141" spans="1:17" s="73" customFormat="1" ht="12.75" x14ac:dyDescent="0.2">
      <c r="A141" s="270"/>
      <c r="C141" s="270"/>
      <c r="D141" s="270"/>
      <c r="E141" s="272"/>
      <c r="L141" s="266"/>
      <c r="M141" s="266"/>
      <c r="N141" s="269"/>
      <c r="O141" s="266"/>
      <c r="P141" s="266"/>
      <c r="Q141" s="266"/>
    </row>
    <row r="142" spans="1:17" s="73" customFormat="1" ht="12.75" x14ac:dyDescent="0.2">
      <c r="A142" s="270"/>
      <c r="C142" s="270"/>
      <c r="D142" s="270"/>
      <c r="E142" s="272"/>
      <c r="L142" s="266"/>
      <c r="M142" s="266"/>
      <c r="N142" s="269"/>
      <c r="O142" s="266"/>
      <c r="P142" s="266"/>
      <c r="Q142" s="266"/>
    </row>
    <row r="143" spans="1:17" s="73" customFormat="1" ht="12.75" x14ac:dyDescent="0.2">
      <c r="A143" s="270"/>
      <c r="C143" s="270"/>
      <c r="D143" s="270"/>
      <c r="E143" s="272"/>
      <c r="L143" s="266"/>
      <c r="M143" s="266"/>
      <c r="N143" s="269"/>
      <c r="O143" s="266"/>
      <c r="P143" s="266"/>
      <c r="Q143" s="266"/>
    </row>
    <row r="144" spans="1:17" s="73" customFormat="1" ht="12.75" x14ac:dyDescent="0.2">
      <c r="A144" s="270"/>
      <c r="C144" s="270"/>
      <c r="D144" s="270"/>
      <c r="E144" s="272"/>
      <c r="L144" s="266"/>
      <c r="M144" s="266"/>
      <c r="N144" s="269"/>
      <c r="O144" s="266"/>
      <c r="P144" s="266"/>
      <c r="Q144" s="266"/>
    </row>
    <row r="145" spans="1:17" s="73" customFormat="1" ht="12.75" x14ac:dyDescent="0.2">
      <c r="A145" s="270"/>
      <c r="C145" s="270"/>
      <c r="D145" s="270"/>
      <c r="E145" s="272"/>
      <c r="L145" s="266"/>
      <c r="M145" s="266"/>
      <c r="N145" s="269"/>
      <c r="O145" s="266"/>
      <c r="P145" s="266"/>
      <c r="Q145" s="266"/>
    </row>
    <row r="146" spans="1:17" s="73" customFormat="1" ht="12.75" x14ac:dyDescent="0.2">
      <c r="A146" s="270"/>
      <c r="C146" s="270"/>
      <c r="D146" s="270"/>
      <c r="E146" s="272"/>
      <c r="L146" s="266"/>
      <c r="M146" s="266"/>
      <c r="N146" s="269"/>
      <c r="O146" s="266"/>
      <c r="P146" s="266"/>
      <c r="Q146" s="266"/>
    </row>
    <row r="147" spans="1:17" s="73" customFormat="1" ht="12.75" x14ac:dyDescent="0.2">
      <c r="A147" s="270"/>
      <c r="C147" s="270"/>
      <c r="D147" s="270"/>
      <c r="E147" s="272"/>
      <c r="L147" s="266"/>
      <c r="M147" s="266"/>
      <c r="N147" s="269"/>
      <c r="O147" s="266"/>
      <c r="P147" s="266"/>
      <c r="Q147" s="266"/>
    </row>
    <row r="148" spans="1:17" s="73" customFormat="1" ht="12.75" x14ac:dyDescent="0.2">
      <c r="A148" s="270"/>
      <c r="C148" s="270"/>
      <c r="D148" s="270"/>
      <c r="E148" s="272"/>
      <c r="L148" s="266"/>
      <c r="M148" s="266"/>
      <c r="N148" s="269"/>
      <c r="O148" s="266"/>
      <c r="P148" s="266"/>
      <c r="Q148" s="266"/>
    </row>
    <row r="149" spans="1:17" s="73" customFormat="1" ht="12.75" x14ac:dyDescent="0.2">
      <c r="A149" s="270"/>
      <c r="C149" s="270"/>
      <c r="D149" s="270"/>
      <c r="E149" s="272"/>
      <c r="L149" s="266"/>
      <c r="M149" s="266"/>
      <c r="N149" s="269"/>
      <c r="O149" s="266"/>
      <c r="P149" s="266"/>
      <c r="Q149" s="266"/>
    </row>
    <row r="150" spans="1:17" s="73" customFormat="1" ht="12.75" x14ac:dyDescent="0.2">
      <c r="A150" s="270"/>
      <c r="C150" s="270"/>
      <c r="D150" s="270"/>
      <c r="E150" s="272"/>
      <c r="L150" s="266"/>
      <c r="M150" s="266"/>
      <c r="N150" s="269"/>
      <c r="O150" s="266"/>
      <c r="P150" s="266"/>
      <c r="Q150" s="266"/>
    </row>
    <row r="151" spans="1:17" s="73" customFormat="1" ht="12.75" x14ac:dyDescent="0.2">
      <c r="A151" s="270"/>
      <c r="C151" s="270"/>
      <c r="D151" s="270"/>
      <c r="E151" s="272"/>
      <c r="L151" s="266"/>
      <c r="M151" s="266"/>
      <c r="N151" s="269"/>
      <c r="O151" s="266"/>
      <c r="P151" s="266"/>
      <c r="Q151" s="266"/>
    </row>
    <row r="152" spans="1:17" s="73" customFormat="1" ht="12.75" x14ac:dyDescent="0.2">
      <c r="A152" s="270"/>
      <c r="C152" s="270"/>
      <c r="D152" s="270"/>
      <c r="E152" s="272"/>
      <c r="L152" s="266"/>
      <c r="M152" s="266"/>
      <c r="N152" s="269"/>
      <c r="O152" s="266"/>
      <c r="P152" s="266"/>
      <c r="Q152" s="266"/>
    </row>
    <row r="153" spans="1:17" s="73" customFormat="1" ht="12.75" x14ac:dyDescent="0.2">
      <c r="A153" s="270"/>
      <c r="C153" s="270"/>
      <c r="D153" s="270"/>
      <c r="E153" s="272"/>
      <c r="L153" s="266"/>
      <c r="M153" s="266"/>
      <c r="N153" s="269"/>
      <c r="O153" s="266"/>
      <c r="P153" s="266"/>
      <c r="Q153" s="266"/>
    </row>
    <row r="154" spans="1:17" s="73" customFormat="1" ht="12.75" x14ac:dyDescent="0.2">
      <c r="A154" s="270"/>
      <c r="C154" s="270"/>
      <c r="D154" s="270"/>
      <c r="E154" s="272"/>
      <c r="L154" s="266"/>
      <c r="M154" s="266"/>
      <c r="N154" s="269"/>
      <c r="O154" s="266"/>
      <c r="P154" s="266"/>
      <c r="Q154" s="266"/>
    </row>
    <row r="155" spans="1:17" s="73" customFormat="1" ht="12.75" x14ac:dyDescent="0.2">
      <c r="A155" s="270"/>
      <c r="C155" s="270"/>
      <c r="D155" s="270"/>
      <c r="E155" s="272"/>
      <c r="L155" s="266"/>
      <c r="M155" s="266"/>
      <c r="N155" s="269"/>
      <c r="O155" s="266"/>
      <c r="P155" s="266"/>
      <c r="Q155" s="266"/>
    </row>
    <row r="156" spans="1:17" s="73" customFormat="1" ht="12.75" x14ac:dyDescent="0.2">
      <c r="A156" s="270"/>
      <c r="C156" s="270"/>
      <c r="D156" s="270"/>
      <c r="E156" s="272"/>
      <c r="L156" s="266"/>
      <c r="M156" s="266"/>
      <c r="N156" s="269"/>
      <c r="O156" s="266"/>
      <c r="P156" s="266"/>
      <c r="Q156" s="266"/>
    </row>
    <row r="157" spans="1:17" s="73" customFormat="1" ht="12.75" x14ac:dyDescent="0.2">
      <c r="A157" s="270"/>
      <c r="C157" s="270"/>
      <c r="D157" s="270"/>
      <c r="E157" s="272"/>
      <c r="L157" s="266"/>
      <c r="M157" s="266"/>
      <c r="N157" s="269"/>
      <c r="O157" s="266"/>
      <c r="P157" s="266"/>
      <c r="Q157" s="266"/>
    </row>
    <row r="158" spans="1:17" s="73" customFormat="1" ht="12.75" x14ac:dyDescent="0.2">
      <c r="A158" s="270"/>
      <c r="C158" s="270"/>
      <c r="D158" s="270"/>
      <c r="E158" s="272"/>
      <c r="L158" s="266"/>
      <c r="M158" s="266"/>
      <c r="N158" s="269"/>
      <c r="O158" s="266"/>
      <c r="P158" s="266"/>
      <c r="Q158" s="266"/>
    </row>
    <row r="159" spans="1:17" s="73" customFormat="1" ht="12.75" x14ac:dyDescent="0.2">
      <c r="A159" s="270"/>
      <c r="C159" s="270"/>
      <c r="D159" s="270"/>
      <c r="E159" s="272"/>
      <c r="L159" s="266"/>
      <c r="M159" s="266"/>
      <c r="N159" s="269"/>
      <c r="O159" s="266"/>
      <c r="P159" s="266"/>
      <c r="Q159" s="266"/>
    </row>
    <row r="160" spans="1:17" s="73" customFormat="1" ht="12.75" x14ac:dyDescent="0.2">
      <c r="A160" s="270"/>
      <c r="C160" s="270"/>
      <c r="D160" s="270"/>
      <c r="E160" s="272"/>
      <c r="L160" s="266"/>
      <c r="M160" s="266"/>
      <c r="N160" s="269"/>
      <c r="O160" s="266"/>
      <c r="P160" s="266"/>
      <c r="Q160" s="266"/>
    </row>
    <row r="161" spans="1:17" s="73" customFormat="1" ht="12.75" x14ac:dyDescent="0.2">
      <c r="A161" s="270"/>
      <c r="C161" s="270"/>
      <c r="D161" s="270"/>
      <c r="E161" s="272"/>
      <c r="L161" s="266"/>
      <c r="M161" s="266"/>
      <c r="N161" s="269"/>
      <c r="O161" s="266"/>
      <c r="P161" s="266"/>
      <c r="Q161" s="266"/>
    </row>
    <row r="162" spans="1:17" s="73" customFormat="1" ht="12.75" x14ac:dyDescent="0.2">
      <c r="A162" s="270"/>
      <c r="C162" s="270"/>
      <c r="D162" s="270"/>
      <c r="E162" s="272"/>
      <c r="L162" s="266"/>
      <c r="M162" s="266"/>
      <c r="N162" s="269"/>
      <c r="O162" s="266"/>
      <c r="P162" s="266"/>
      <c r="Q162" s="266"/>
    </row>
    <row r="163" spans="1:17" s="73" customFormat="1" ht="12.75" x14ac:dyDescent="0.2">
      <c r="A163" s="270"/>
      <c r="C163" s="270"/>
      <c r="D163" s="270"/>
      <c r="E163" s="272"/>
      <c r="L163" s="266"/>
      <c r="M163" s="266"/>
      <c r="N163" s="269"/>
      <c r="O163" s="266"/>
      <c r="P163" s="266"/>
      <c r="Q163" s="266"/>
    </row>
    <row r="164" spans="1:17" s="73" customFormat="1" ht="12.75" x14ac:dyDescent="0.2">
      <c r="A164" s="270"/>
      <c r="C164" s="270"/>
      <c r="D164" s="270"/>
      <c r="E164" s="272"/>
      <c r="L164" s="266"/>
      <c r="M164" s="266"/>
      <c r="N164" s="269"/>
      <c r="O164" s="266"/>
      <c r="P164" s="266"/>
      <c r="Q164" s="266"/>
    </row>
    <row r="165" spans="1:17" s="73" customFormat="1" ht="12.75" x14ac:dyDescent="0.2">
      <c r="A165" s="270"/>
      <c r="C165" s="270"/>
      <c r="D165" s="270"/>
      <c r="E165" s="272"/>
      <c r="L165" s="266"/>
      <c r="M165" s="266"/>
      <c r="N165" s="269"/>
      <c r="O165" s="266"/>
      <c r="P165" s="266"/>
      <c r="Q165" s="266"/>
    </row>
    <row r="166" spans="1:17" s="73" customFormat="1" ht="12.75" x14ac:dyDescent="0.2">
      <c r="A166" s="270"/>
      <c r="C166" s="270"/>
      <c r="D166" s="270"/>
      <c r="E166" s="272"/>
      <c r="L166" s="266"/>
      <c r="M166" s="266"/>
      <c r="N166" s="269"/>
      <c r="O166" s="266"/>
      <c r="P166" s="266"/>
      <c r="Q166" s="266"/>
    </row>
    <row r="167" spans="1:17" s="73" customFormat="1" ht="12.75" x14ac:dyDescent="0.2">
      <c r="A167" s="270"/>
      <c r="C167" s="270"/>
      <c r="D167" s="270"/>
      <c r="E167" s="272"/>
      <c r="L167" s="266"/>
      <c r="M167" s="266"/>
      <c r="N167" s="269"/>
      <c r="O167" s="266"/>
      <c r="P167" s="266"/>
      <c r="Q167" s="266"/>
    </row>
    <row r="168" spans="1:17" s="73" customFormat="1" ht="12.75" x14ac:dyDescent="0.2">
      <c r="A168" s="270"/>
      <c r="C168" s="270"/>
      <c r="D168" s="270"/>
      <c r="E168" s="272"/>
      <c r="L168" s="266"/>
      <c r="M168" s="266"/>
      <c r="N168" s="269"/>
      <c r="O168" s="266"/>
      <c r="P168" s="266"/>
      <c r="Q168" s="266"/>
    </row>
    <row r="169" spans="1:17" s="73" customFormat="1" ht="12.75" x14ac:dyDescent="0.2">
      <c r="A169" s="270"/>
      <c r="C169" s="270"/>
      <c r="D169" s="270"/>
      <c r="E169" s="272"/>
      <c r="L169" s="266"/>
      <c r="M169" s="266"/>
      <c r="N169" s="269"/>
      <c r="O169" s="266"/>
      <c r="P169" s="266"/>
      <c r="Q169" s="266"/>
    </row>
    <row r="170" spans="1:17" s="73" customFormat="1" ht="12.75" x14ac:dyDescent="0.2">
      <c r="A170" s="270"/>
      <c r="C170" s="270"/>
      <c r="D170" s="270"/>
      <c r="E170" s="272"/>
      <c r="L170" s="266"/>
      <c r="M170" s="266"/>
      <c r="N170" s="269"/>
      <c r="O170" s="266"/>
      <c r="P170" s="266"/>
      <c r="Q170" s="266"/>
    </row>
    <row r="171" spans="1:17" s="73" customFormat="1" ht="12.75" x14ac:dyDescent="0.2">
      <c r="A171" s="270"/>
      <c r="C171" s="270"/>
      <c r="D171" s="270"/>
      <c r="E171" s="272"/>
      <c r="L171" s="266"/>
      <c r="M171" s="266"/>
      <c r="N171" s="269"/>
      <c r="O171" s="266"/>
      <c r="P171" s="266"/>
      <c r="Q171" s="266"/>
    </row>
    <row r="172" spans="1:17" s="73" customFormat="1" ht="12.75" x14ac:dyDescent="0.2">
      <c r="A172" s="270"/>
      <c r="C172" s="270"/>
      <c r="D172" s="270"/>
      <c r="E172" s="272"/>
      <c r="L172" s="266"/>
      <c r="M172" s="266"/>
      <c r="N172" s="269"/>
      <c r="O172" s="266"/>
      <c r="P172" s="266"/>
      <c r="Q172" s="266"/>
    </row>
    <row r="173" spans="1:17" s="73" customFormat="1" ht="12.75" x14ac:dyDescent="0.2">
      <c r="A173" s="270"/>
      <c r="C173" s="270"/>
      <c r="D173" s="270"/>
      <c r="E173" s="272"/>
      <c r="L173" s="266"/>
      <c r="M173" s="266"/>
      <c r="N173" s="269"/>
      <c r="O173" s="266"/>
      <c r="P173" s="266"/>
      <c r="Q173" s="266"/>
    </row>
    <row r="174" spans="1:17" s="73" customFormat="1" ht="12.75" x14ac:dyDescent="0.2">
      <c r="A174" s="270"/>
      <c r="C174" s="270"/>
      <c r="D174" s="270"/>
      <c r="E174" s="272"/>
      <c r="L174" s="266"/>
      <c r="M174" s="266"/>
      <c r="N174" s="269"/>
      <c r="O174" s="266"/>
      <c r="P174" s="266"/>
      <c r="Q174" s="266"/>
    </row>
    <row r="175" spans="1:17" s="73" customFormat="1" ht="12.75" x14ac:dyDescent="0.2">
      <c r="A175" s="270"/>
      <c r="C175" s="270"/>
      <c r="D175" s="270"/>
      <c r="E175" s="272"/>
      <c r="L175" s="266"/>
      <c r="M175" s="266"/>
      <c r="N175" s="269"/>
      <c r="O175" s="266"/>
      <c r="P175" s="266"/>
      <c r="Q175" s="266"/>
    </row>
    <row r="176" spans="1:17" s="73" customFormat="1" ht="12.75" x14ac:dyDescent="0.2">
      <c r="A176" s="270"/>
      <c r="C176" s="270"/>
      <c r="D176" s="270"/>
      <c r="E176" s="272"/>
      <c r="L176" s="266"/>
      <c r="M176" s="266"/>
      <c r="N176" s="269"/>
      <c r="O176" s="266"/>
      <c r="P176" s="266"/>
      <c r="Q176" s="266"/>
    </row>
    <row r="177" spans="1:17" s="73" customFormat="1" ht="12.75" x14ac:dyDescent="0.2">
      <c r="A177" s="270"/>
      <c r="C177" s="270"/>
      <c r="D177" s="270"/>
      <c r="E177" s="272"/>
      <c r="L177" s="266"/>
      <c r="M177" s="266"/>
      <c r="N177" s="269"/>
      <c r="O177" s="266"/>
      <c r="P177" s="266"/>
      <c r="Q177" s="266"/>
    </row>
    <row r="178" spans="1:17" s="73" customFormat="1" ht="12.75" x14ac:dyDescent="0.2">
      <c r="A178" s="270"/>
      <c r="C178" s="270"/>
      <c r="D178" s="270"/>
      <c r="E178" s="272"/>
      <c r="L178" s="266"/>
      <c r="M178" s="266"/>
      <c r="N178" s="269"/>
      <c r="O178" s="266"/>
      <c r="P178" s="266"/>
      <c r="Q178" s="266"/>
    </row>
    <row r="179" spans="1:17" s="73" customFormat="1" ht="12.75" x14ac:dyDescent="0.2">
      <c r="A179" s="270"/>
      <c r="C179" s="270"/>
      <c r="D179" s="270"/>
      <c r="E179" s="272"/>
      <c r="L179" s="266"/>
      <c r="M179" s="266"/>
      <c r="N179" s="269"/>
      <c r="O179" s="266"/>
      <c r="P179" s="266"/>
      <c r="Q179" s="266"/>
    </row>
    <row r="180" spans="1:17" s="73" customFormat="1" ht="12.75" x14ac:dyDescent="0.2">
      <c r="A180" s="270"/>
      <c r="C180" s="270"/>
      <c r="D180" s="270"/>
      <c r="E180" s="272"/>
      <c r="L180" s="266"/>
      <c r="M180" s="266"/>
      <c r="N180" s="269"/>
      <c r="O180" s="266"/>
      <c r="P180" s="266"/>
      <c r="Q180" s="266"/>
    </row>
    <row r="181" spans="1:17" s="73" customFormat="1" ht="12.75" x14ac:dyDescent="0.2">
      <c r="A181" s="270"/>
      <c r="C181" s="270"/>
      <c r="D181" s="270"/>
      <c r="E181" s="272"/>
      <c r="L181" s="266"/>
      <c r="M181" s="266"/>
      <c r="N181" s="269"/>
      <c r="O181" s="266"/>
      <c r="P181" s="266"/>
      <c r="Q181" s="266"/>
    </row>
    <row r="182" spans="1:17" s="73" customFormat="1" ht="12.75" x14ac:dyDescent="0.2">
      <c r="A182" s="270"/>
      <c r="C182" s="270"/>
      <c r="D182" s="270"/>
      <c r="E182" s="272"/>
      <c r="L182" s="266"/>
      <c r="M182" s="266"/>
      <c r="N182" s="269"/>
      <c r="O182" s="266"/>
      <c r="P182" s="266"/>
      <c r="Q182" s="266"/>
    </row>
    <row r="183" spans="1:17" s="73" customFormat="1" ht="12.75" x14ac:dyDescent="0.2">
      <c r="A183" s="270"/>
      <c r="C183" s="270"/>
      <c r="D183" s="270"/>
      <c r="E183" s="272"/>
      <c r="L183" s="266"/>
      <c r="M183" s="266"/>
      <c r="N183" s="269"/>
      <c r="O183" s="266"/>
      <c r="P183" s="266"/>
      <c r="Q183" s="266"/>
    </row>
    <row r="184" spans="1:17" s="73" customFormat="1" ht="12.75" x14ac:dyDescent="0.2">
      <c r="A184" s="270"/>
      <c r="C184" s="270"/>
      <c r="D184" s="270"/>
      <c r="E184" s="272"/>
      <c r="L184" s="266"/>
      <c r="M184" s="266"/>
      <c r="N184" s="269"/>
      <c r="O184" s="266"/>
      <c r="P184" s="266"/>
      <c r="Q184" s="266"/>
    </row>
    <row r="185" spans="1:17" s="73" customFormat="1" ht="12.75" x14ac:dyDescent="0.2">
      <c r="A185" s="270"/>
      <c r="C185" s="270"/>
      <c r="D185" s="270"/>
      <c r="E185" s="272"/>
      <c r="L185" s="266"/>
      <c r="M185" s="266"/>
      <c r="N185" s="269"/>
      <c r="O185" s="266"/>
      <c r="P185" s="266"/>
      <c r="Q185" s="266"/>
    </row>
    <row r="186" spans="1:17" s="73" customFormat="1" ht="12.75" x14ac:dyDescent="0.2">
      <c r="A186" s="270"/>
      <c r="C186" s="270"/>
      <c r="D186" s="270"/>
      <c r="E186" s="272"/>
      <c r="L186" s="266"/>
      <c r="M186" s="266"/>
      <c r="N186" s="269"/>
      <c r="O186" s="266"/>
      <c r="P186" s="266"/>
      <c r="Q186" s="266"/>
    </row>
    <row r="187" spans="1:17" s="73" customFormat="1" ht="12.75" x14ac:dyDescent="0.2">
      <c r="A187" s="270"/>
      <c r="C187" s="270"/>
      <c r="D187" s="270"/>
      <c r="E187" s="272"/>
      <c r="L187" s="266"/>
      <c r="M187" s="266"/>
      <c r="N187" s="269"/>
      <c r="O187" s="266"/>
      <c r="P187" s="266"/>
      <c r="Q187" s="266"/>
    </row>
    <row r="188" spans="1:17" s="73" customFormat="1" ht="12.75" x14ac:dyDescent="0.2">
      <c r="A188" s="270"/>
      <c r="C188" s="270"/>
      <c r="D188" s="270"/>
      <c r="E188" s="272"/>
      <c r="L188" s="266"/>
      <c r="M188" s="266"/>
      <c r="N188" s="269"/>
      <c r="O188" s="266"/>
      <c r="P188" s="266"/>
      <c r="Q188" s="266"/>
    </row>
    <row r="189" spans="1:17" s="73" customFormat="1" ht="12.75" x14ac:dyDescent="0.2">
      <c r="A189" s="270"/>
      <c r="C189" s="270"/>
      <c r="D189" s="270"/>
      <c r="E189" s="272"/>
      <c r="L189" s="266"/>
      <c r="M189" s="266"/>
      <c r="N189" s="269"/>
      <c r="O189" s="266"/>
      <c r="P189" s="266"/>
      <c r="Q189" s="266"/>
    </row>
    <row r="190" spans="1:17" s="73" customFormat="1" ht="12.75" x14ac:dyDescent="0.2">
      <c r="A190" s="270"/>
      <c r="C190" s="270"/>
      <c r="D190" s="270"/>
      <c r="E190" s="272"/>
      <c r="L190" s="266"/>
      <c r="M190" s="266"/>
      <c r="N190" s="269"/>
      <c r="O190" s="266"/>
      <c r="P190" s="266"/>
      <c r="Q190" s="266"/>
    </row>
    <row r="191" spans="1:17" s="73" customFormat="1" ht="12.75" x14ac:dyDescent="0.2">
      <c r="A191" s="270"/>
      <c r="C191" s="270"/>
      <c r="D191" s="270"/>
      <c r="E191" s="272"/>
      <c r="L191" s="266"/>
      <c r="M191" s="266"/>
      <c r="N191" s="269"/>
      <c r="O191" s="266"/>
      <c r="P191" s="266"/>
      <c r="Q191" s="266"/>
    </row>
    <row r="192" spans="1:17" s="73" customFormat="1" ht="12.75" x14ac:dyDescent="0.2">
      <c r="A192" s="270"/>
      <c r="C192" s="270"/>
      <c r="D192" s="270"/>
      <c r="E192" s="272"/>
      <c r="L192" s="266"/>
      <c r="M192" s="266"/>
      <c r="N192" s="269"/>
      <c r="O192" s="266"/>
      <c r="P192" s="266"/>
      <c r="Q192" s="266"/>
    </row>
    <row r="193" spans="1:17" s="73" customFormat="1" ht="12.75" x14ac:dyDescent="0.2">
      <c r="A193" s="270"/>
      <c r="C193" s="270"/>
      <c r="D193" s="270"/>
      <c r="E193" s="272"/>
      <c r="L193" s="266"/>
      <c r="M193" s="266"/>
      <c r="N193" s="269"/>
      <c r="O193" s="266"/>
      <c r="P193" s="266"/>
      <c r="Q193" s="266"/>
    </row>
    <row r="194" spans="1:17" s="73" customFormat="1" ht="12.75" x14ac:dyDescent="0.2">
      <c r="A194" s="270"/>
      <c r="C194" s="270"/>
      <c r="D194" s="270"/>
      <c r="E194" s="272"/>
      <c r="L194" s="266"/>
      <c r="M194" s="266"/>
      <c r="N194" s="269"/>
      <c r="O194" s="266"/>
      <c r="P194" s="266"/>
      <c r="Q194" s="266"/>
    </row>
    <row r="195" spans="1:17" s="73" customFormat="1" ht="12.75" x14ac:dyDescent="0.2">
      <c r="A195" s="270"/>
      <c r="C195" s="270"/>
      <c r="D195" s="270"/>
      <c r="E195" s="272"/>
      <c r="L195" s="266"/>
      <c r="M195" s="266"/>
      <c r="N195" s="269"/>
      <c r="O195" s="266"/>
      <c r="P195" s="266"/>
      <c r="Q195" s="266"/>
    </row>
    <row r="196" spans="1:17" s="73" customFormat="1" ht="12.75" x14ac:dyDescent="0.2">
      <c r="A196" s="270"/>
      <c r="C196" s="270"/>
      <c r="D196" s="270"/>
      <c r="E196" s="272"/>
      <c r="L196" s="266"/>
      <c r="M196" s="266"/>
      <c r="N196" s="269"/>
      <c r="O196" s="266"/>
      <c r="P196" s="266"/>
      <c r="Q196" s="266"/>
    </row>
    <row r="197" spans="1:17" s="73" customFormat="1" ht="12.75" x14ac:dyDescent="0.2">
      <c r="A197" s="270"/>
      <c r="C197" s="270"/>
      <c r="D197" s="270"/>
      <c r="E197" s="272"/>
      <c r="L197" s="266"/>
      <c r="M197" s="266"/>
      <c r="N197" s="269"/>
      <c r="O197" s="266"/>
      <c r="P197" s="266"/>
      <c r="Q197" s="266"/>
    </row>
    <row r="198" spans="1:17" s="73" customFormat="1" ht="12.75" x14ac:dyDescent="0.2">
      <c r="A198" s="270"/>
      <c r="C198" s="270"/>
      <c r="D198" s="270"/>
      <c r="E198" s="272"/>
      <c r="L198" s="266"/>
      <c r="M198" s="266"/>
      <c r="N198" s="269"/>
      <c r="O198" s="266"/>
      <c r="P198" s="266"/>
      <c r="Q198" s="266"/>
    </row>
    <row r="199" spans="1:17" s="73" customFormat="1" ht="12.75" x14ac:dyDescent="0.2">
      <c r="A199" s="270"/>
      <c r="C199" s="270"/>
      <c r="D199" s="270"/>
      <c r="E199" s="272"/>
      <c r="L199" s="266"/>
      <c r="M199" s="266"/>
      <c r="N199" s="269"/>
      <c r="O199" s="266"/>
      <c r="P199" s="266"/>
      <c r="Q199" s="266"/>
    </row>
    <row r="200" spans="1:17" s="73" customFormat="1" ht="12.75" x14ac:dyDescent="0.2">
      <c r="A200" s="270"/>
      <c r="C200" s="270"/>
      <c r="D200" s="270"/>
      <c r="E200" s="272"/>
      <c r="L200" s="266"/>
      <c r="M200" s="266"/>
      <c r="N200" s="269"/>
      <c r="O200" s="266"/>
      <c r="P200" s="266"/>
      <c r="Q200" s="266"/>
    </row>
    <row r="201" spans="1:17" s="73" customFormat="1" ht="12.75" x14ac:dyDescent="0.2">
      <c r="A201" s="270"/>
      <c r="C201" s="270"/>
      <c r="D201" s="270"/>
      <c r="E201" s="272"/>
      <c r="L201" s="266"/>
      <c r="M201" s="266"/>
      <c r="N201" s="269"/>
      <c r="O201" s="266"/>
      <c r="P201" s="266"/>
      <c r="Q201" s="266"/>
    </row>
    <row r="202" spans="1:17" s="73" customFormat="1" ht="12.75" x14ac:dyDescent="0.2">
      <c r="A202" s="270"/>
      <c r="C202" s="270"/>
      <c r="D202" s="270"/>
      <c r="E202" s="272"/>
      <c r="L202" s="266"/>
      <c r="M202" s="266"/>
      <c r="N202" s="269"/>
      <c r="O202" s="266"/>
      <c r="P202" s="266"/>
      <c r="Q202" s="266"/>
    </row>
    <row r="203" spans="1:17" s="73" customFormat="1" ht="12.75" x14ac:dyDescent="0.2">
      <c r="A203" s="270"/>
      <c r="C203" s="270"/>
      <c r="D203" s="270"/>
      <c r="E203" s="272"/>
      <c r="L203" s="266"/>
      <c r="M203" s="266"/>
      <c r="N203" s="269"/>
      <c r="O203" s="266"/>
      <c r="P203" s="266"/>
      <c r="Q203" s="266"/>
    </row>
    <row r="204" spans="1:17" s="73" customFormat="1" ht="12.75" x14ac:dyDescent="0.2">
      <c r="A204" s="270"/>
      <c r="C204" s="270"/>
      <c r="D204" s="270"/>
      <c r="E204" s="272"/>
      <c r="L204" s="266"/>
      <c r="M204" s="266"/>
      <c r="N204" s="269"/>
      <c r="O204" s="266"/>
      <c r="P204" s="266"/>
      <c r="Q204" s="266"/>
    </row>
    <row r="205" spans="1:17" s="73" customFormat="1" ht="12.75" x14ac:dyDescent="0.2">
      <c r="A205" s="270"/>
      <c r="C205" s="270"/>
      <c r="D205" s="270"/>
      <c r="E205" s="272"/>
      <c r="L205" s="266"/>
      <c r="M205" s="266"/>
      <c r="N205" s="269"/>
      <c r="O205" s="266"/>
      <c r="P205" s="266"/>
      <c r="Q205" s="266"/>
    </row>
    <row r="206" spans="1:17" s="73" customFormat="1" ht="12.75" x14ac:dyDescent="0.2">
      <c r="A206" s="270"/>
      <c r="C206" s="270"/>
      <c r="D206" s="270"/>
      <c r="E206" s="272"/>
      <c r="L206" s="266"/>
      <c r="M206" s="266"/>
      <c r="N206" s="269"/>
      <c r="O206" s="266"/>
      <c r="P206" s="266"/>
      <c r="Q206" s="266"/>
    </row>
    <row r="207" spans="1:17" s="73" customFormat="1" ht="12.75" x14ac:dyDescent="0.2">
      <c r="A207" s="270"/>
      <c r="C207" s="270"/>
      <c r="D207" s="270"/>
      <c r="E207" s="272"/>
      <c r="L207" s="266"/>
      <c r="M207" s="266"/>
      <c r="N207" s="269"/>
      <c r="O207" s="266"/>
      <c r="P207" s="266"/>
      <c r="Q207" s="266"/>
    </row>
    <row r="208" spans="1:17" s="73" customFormat="1" ht="12.75" x14ac:dyDescent="0.2">
      <c r="A208" s="270"/>
      <c r="C208" s="270"/>
      <c r="D208" s="270"/>
      <c r="E208" s="272"/>
      <c r="L208" s="266"/>
      <c r="M208" s="266"/>
      <c r="N208" s="269"/>
      <c r="O208" s="266"/>
      <c r="P208" s="266"/>
      <c r="Q208" s="266"/>
    </row>
    <row r="209" spans="1:17" s="73" customFormat="1" ht="12.75" x14ac:dyDescent="0.2">
      <c r="A209" s="270"/>
      <c r="C209" s="270"/>
      <c r="D209" s="270"/>
      <c r="E209" s="272"/>
      <c r="L209" s="266"/>
      <c r="M209" s="266"/>
      <c r="N209" s="269"/>
      <c r="O209" s="266"/>
      <c r="P209" s="266"/>
      <c r="Q209" s="266"/>
    </row>
    <row r="210" spans="1:17" s="73" customFormat="1" ht="12.75" x14ac:dyDescent="0.2">
      <c r="A210" s="270"/>
      <c r="C210" s="270"/>
      <c r="D210" s="270"/>
      <c r="E210" s="272"/>
      <c r="L210" s="266"/>
      <c r="M210" s="266"/>
      <c r="N210" s="269"/>
      <c r="O210" s="266"/>
      <c r="P210" s="266"/>
      <c r="Q210" s="266"/>
    </row>
    <row r="211" spans="1:17" s="73" customFormat="1" ht="12.75" x14ac:dyDescent="0.2">
      <c r="A211" s="270"/>
      <c r="C211" s="270"/>
      <c r="D211" s="270"/>
      <c r="E211" s="272"/>
      <c r="L211" s="266"/>
      <c r="M211" s="266"/>
      <c r="N211" s="269"/>
      <c r="O211" s="266"/>
      <c r="P211" s="266"/>
      <c r="Q211" s="266"/>
    </row>
    <row r="212" spans="1:17" s="73" customFormat="1" ht="12.75" x14ac:dyDescent="0.2">
      <c r="A212" s="270"/>
      <c r="C212" s="270"/>
      <c r="D212" s="270"/>
      <c r="E212" s="272"/>
      <c r="L212" s="266"/>
      <c r="M212" s="266"/>
      <c r="N212" s="269"/>
      <c r="O212" s="266"/>
      <c r="P212" s="266"/>
      <c r="Q212" s="266"/>
    </row>
    <row r="213" spans="1:17" s="73" customFormat="1" ht="12.75" x14ac:dyDescent="0.2">
      <c r="A213" s="270"/>
      <c r="C213" s="270"/>
      <c r="D213" s="270"/>
      <c r="E213" s="272"/>
      <c r="L213" s="266"/>
      <c r="M213" s="266"/>
      <c r="N213" s="269"/>
      <c r="O213" s="266"/>
      <c r="P213" s="266"/>
      <c r="Q213" s="266"/>
    </row>
    <row r="214" spans="1:17" s="73" customFormat="1" ht="12.75" x14ac:dyDescent="0.2">
      <c r="A214" s="270"/>
      <c r="C214" s="270"/>
      <c r="D214" s="270"/>
      <c r="E214" s="272"/>
      <c r="L214" s="266"/>
      <c r="M214" s="266"/>
      <c r="N214" s="269"/>
      <c r="O214" s="266"/>
      <c r="P214" s="266"/>
      <c r="Q214" s="266"/>
    </row>
    <row r="215" spans="1:17" s="73" customFormat="1" ht="12.75" x14ac:dyDescent="0.2">
      <c r="A215" s="270"/>
      <c r="C215" s="270"/>
      <c r="D215" s="270"/>
      <c r="E215" s="272"/>
      <c r="L215" s="266"/>
      <c r="M215" s="266"/>
      <c r="N215" s="269"/>
      <c r="O215" s="266"/>
      <c r="P215" s="266"/>
      <c r="Q215" s="266"/>
    </row>
    <row r="216" spans="1:17" s="73" customFormat="1" ht="12.75" x14ac:dyDescent="0.2">
      <c r="A216" s="270"/>
      <c r="C216" s="270"/>
      <c r="D216" s="270"/>
      <c r="E216" s="272"/>
      <c r="L216" s="266"/>
      <c r="M216" s="266"/>
      <c r="N216" s="269"/>
      <c r="O216" s="266"/>
      <c r="P216" s="266"/>
      <c r="Q216" s="266"/>
    </row>
    <row r="217" spans="1:17" s="73" customFormat="1" ht="12.75" x14ac:dyDescent="0.2">
      <c r="A217" s="270"/>
      <c r="C217" s="270"/>
      <c r="D217" s="270"/>
      <c r="E217" s="272"/>
      <c r="L217" s="266"/>
      <c r="M217" s="266"/>
      <c r="N217" s="269"/>
      <c r="O217" s="266"/>
      <c r="P217" s="266"/>
      <c r="Q217" s="266"/>
    </row>
    <row r="218" spans="1:17" s="73" customFormat="1" ht="12.75" x14ac:dyDescent="0.2">
      <c r="A218" s="270"/>
      <c r="C218" s="270"/>
      <c r="D218" s="270"/>
      <c r="E218" s="272"/>
      <c r="L218" s="266"/>
      <c r="M218" s="266"/>
      <c r="N218" s="269"/>
      <c r="O218" s="266"/>
      <c r="P218" s="266"/>
      <c r="Q218" s="266"/>
    </row>
    <row r="219" spans="1:17" s="73" customFormat="1" ht="12.75" x14ac:dyDescent="0.2">
      <c r="A219" s="270"/>
      <c r="C219" s="270"/>
      <c r="D219" s="270"/>
      <c r="E219" s="272"/>
      <c r="L219" s="266"/>
      <c r="M219" s="266"/>
      <c r="N219" s="269"/>
      <c r="O219" s="266"/>
      <c r="P219" s="266"/>
      <c r="Q219" s="266"/>
    </row>
    <row r="220" spans="1:17" s="73" customFormat="1" ht="12.75" x14ac:dyDescent="0.2">
      <c r="A220" s="270"/>
      <c r="C220" s="270"/>
      <c r="D220" s="270"/>
      <c r="E220" s="272"/>
      <c r="L220" s="266"/>
      <c r="M220" s="266"/>
      <c r="N220" s="269"/>
      <c r="O220" s="266"/>
      <c r="P220" s="266"/>
      <c r="Q220" s="266"/>
    </row>
    <row r="221" spans="1:17" s="73" customFormat="1" ht="12.75" x14ac:dyDescent="0.2">
      <c r="A221" s="270"/>
      <c r="C221" s="270"/>
      <c r="D221" s="270"/>
      <c r="E221" s="272"/>
      <c r="L221" s="266"/>
      <c r="M221" s="266"/>
      <c r="N221" s="269"/>
      <c r="O221" s="266"/>
      <c r="P221" s="266"/>
      <c r="Q221" s="266"/>
    </row>
    <row r="222" spans="1:17" s="73" customFormat="1" ht="12.75" x14ac:dyDescent="0.2">
      <c r="A222" s="270"/>
      <c r="C222" s="270"/>
      <c r="D222" s="270"/>
      <c r="E222" s="272"/>
      <c r="L222" s="266"/>
      <c r="M222" s="266"/>
      <c r="N222" s="269"/>
      <c r="O222" s="266"/>
      <c r="P222" s="266"/>
      <c r="Q222" s="266"/>
    </row>
    <row r="223" spans="1:17" s="73" customFormat="1" ht="12.75" x14ac:dyDescent="0.2">
      <c r="A223" s="270"/>
      <c r="C223" s="270"/>
      <c r="D223" s="270"/>
      <c r="E223" s="272"/>
      <c r="L223" s="266"/>
      <c r="M223" s="266"/>
      <c r="N223" s="269"/>
      <c r="O223" s="266"/>
      <c r="P223" s="266"/>
      <c r="Q223" s="266"/>
    </row>
    <row r="224" spans="1:17" s="73" customFormat="1" ht="12.75" x14ac:dyDescent="0.2">
      <c r="A224" s="270"/>
      <c r="C224" s="270"/>
      <c r="D224" s="270"/>
      <c r="E224" s="272"/>
      <c r="L224" s="266"/>
      <c r="M224" s="266"/>
      <c r="N224" s="269"/>
      <c r="O224" s="266"/>
      <c r="P224" s="266"/>
      <c r="Q224" s="266"/>
    </row>
    <row r="225" spans="1:17" s="73" customFormat="1" ht="12.75" x14ac:dyDescent="0.2">
      <c r="A225" s="270"/>
      <c r="C225" s="270"/>
      <c r="D225" s="270"/>
      <c r="E225" s="272"/>
      <c r="L225" s="266"/>
      <c r="M225" s="266"/>
      <c r="N225" s="269"/>
      <c r="O225" s="266"/>
      <c r="P225" s="266"/>
      <c r="Q225" s="266"/>
    </row>
    <row r="226" spans="1:17" s="73" customFormat="1" ht="12.75" x14ac:dyDescent="0.2">
      <c r="A226" s="270"/>
      <c r="C226" s="270"/>
      <c r="D226" s="270"/>
      <c r="E226" s="272"/>
      <c r="L226" s="266"/>
      <c r="M226" s="266"/>
      <c r="N226" s="269"/>
      <c r="O226" s="266"/>
      <c r="P226" s="266"/>
      <c r="Q226" s="266"/>
    </row>
    <row r="227" spans="1:17" s="73" customFormat="1" ht="12.75" x14ac:dyDescent="0.2">
      <c r="A227" s="270"/>
      <c r="C227" s="270"/>
      <c r="D227" s="270"/>
      <c r="E227" s="272"/>
      <c r="L227" s="266"/>
      <c r="M227" s="266"/>
      <c r="N227" s="269"/>
      <c r="O227" s="266"/>
      <c r="P227" s="266"/>
      <c r="Q227" s="266"/>
    </row>
    <row r="228" spans="1:17" s="73" customFormat="1" ht="12.75" x14ac:dyDescent="0.2">
      <c r="A228" s="270"/>
      <c r="C228" s="270"/>
      <c r="D228" s="270"/>
      <c r="E228" s="272"/>
      <c r="L228" s="266"/>
      <c r="M228" s="266"/>
      <c r="N228" s="269"/>
      <c r="O228" s="266"/>
      <c r="P228" s="266"/>
      <c r="Q228" s="266"/>
    </row>
    <row r="229" spans="1:17" s="73" customFormat="1" ht="12.75" x14ac:dyDescent="0.2">
      <c r="A229" s="270"/>
      <c r="C229" s="270"/>
      <c r="D229" s="270"/>
      <c r="E229" s="272"/>
      <c r="L229" s="266"/>
      <c r="M229" s="266"/>
      <c r="N229" s="269"/>
      <c r="O229" s="266"/>
      <c r="P229" s="266"/>
      <c r="Q229" s="266"/>
    </row>
    <row r="230" spans="1:17" s="73" customFormat="1" ht="12.75" x14ac:dyDescent="0.2">
      <c r="A230" s="270"/>
      <c r="C230" s="270"/>
      <c r="D230" s="270"/>
      <c r="E230" s="272"/>
      <c r="L230" s="266"/>
      <c r="M230" s="266"/>
      <c r="N230" s="269"/>
      <c r="O230" s="266"/>
      <c r="P230" s="266"/>
      <c r="Q230" s="266"/>
    </row>
    <row r="231" spans="1:17" s="73" customFormat="1" ht="12.75" x14ac:dyDescent="0.2">
      <c r="A231" s="270"/>
      <c r="C231" s="270"/>
      <c r="D231" s="270"/>
      <c r="E231" s="272"/>
      <c r="L231" s="266"/>
      <c r="M231" s="266"/>
      <c r="N231" s="269"/>
      <c r="O231" s="266"/>
      <c r="P231" s="266"/>
      <c r="Q231" s="266"/>
    </row>
    <row r="232" spans="1:17" s="73" customFormat="1" ht="12.75" x14ac:dyDescent="0.2">
      <c r="A232" s="270"/>
      <c r="C232" s="270"/>
      <c r="D232" s="270"/>
      <c r="E232" s="272"/>
      <c r="L232" s="266"/>
      <c r="M232" s="266"/>
      <c r="N232" s="269"/>
      <c r="O232" s="266"/>
      <c r="P232" s="266"/>
      <c r="Q232" s="266"/>
    </row>
    <row r="233" spans="1:17" s="73" customFormat="1" ht="12.75" x14ac:dyDescent="0.2">
      <c r="A233" s="270"/>
      <c r="C233" s="270"/>
      <c r="D233" s="270"/>
      <c r="E233" s="272"/>
      <c r="L233" s="266"/>
      <c r="M233" s="266"/>
      <c r="N233" s="269"/>
      <c r="O233" s="266"/>
      <c r="P233" s="266"/>
      <c r="Q233" s="266"/>
    </row>
    <row r="234" spans="1:17" s="73" customFormat="1" ht="12.75" x14ac:dyDescent="0.2">
      <c r="A234" s="270"/>
      <c r="C234" s="270"/>
      <c r="D234" s="270"/>
      <c r="E234" s="272"/>
      <c r="L234" s="266"/>
      <c r="M234" s="266"/>
      <c r="N234" s="269"/>
      <c r="O234" s="266"/>
      <c r="P234" s="266"/>
      <c r="Q234" s="266"/>
    </row>
    <row r="235" spans="1:17" s="73" customFormat="1" ht="12.75" x14ac:dyDescent="0.2">
      <c r="A235" s="270"/>
      <c r="C235" s="270"/>
      <c r="D235" s="270"/>
      <c r="E235" s="272"/>
      <c r="L235" s="266"/>
      <c r="M235" s="266"/>
      <c r="N235" s="269"/>
      <c r="O235" s="266"/>
      <c r="P235" s="266"/>
      <c r="Q235" s="266"/>
    </row>
    <row r="236" spans="1:17" s="73" customFormat="1" ht="12.75" x14ac:dyDescent="0.2">
      <c r="A236" s="270"/>
      <c r="C236" s="270"/>
      <c r="D236" s="270"/>
      <c r="E236" s="272"/>
      <c r="L236" s="266"/>
      <c r="M236" s="266"/>
      <c r="N236" s="269"/>
      <c r="O236" s="266"/>
      <c r="P236" s="266"/>
      <c r="Q236" s="266"/>
    </row>
    <row r="237" spans="1:17" s="73" customFormat="1" ht="12.75" x14ac:dyDescent="0.2">
      <c r="A237" s="270"/>
      <c r="C237" s="270"/>
      <c r="D237" s="270"/>
      <c r="E237" s="272"/>
      <c r="L237" s="266"/>
      <c r="M237" s="266"/>
      <c r="N237" s="269"/>
      <c r="O237" s="266"/>
      <c r="P237" s="266"/>
      <c r="Q237" s="266"/>
    </row>
    <row r="238" spans="1:17" s="73" customFormat="1" ht="12.75" x14ac:dyDescent="0.2">
      <c r="A238" s="270"/>
      <c r="C238" s="270"/>
      <c r="D238" s="270"/>
      <c r="E238" s="272"/>
      <c r="L238" s="266"/>
      <c r="M238" s="266"/>
      <c r="N238" s="269"/>
      <c r="O238" s="266"/>
      <c r="P238" s="266"/>
      <c r="Q238" s="266"/>
    </row>
    <row r="239" spans="1:17" s="73" customFormat="1" ht="12.75" x14ac:dyDescent="0.2">
      <c r="A239" s="270"/>
      <c r="C239" s="270"/>
      <c r="D239" s="270"/>
      <c r="E239" s="272"/>
      <c r="L239" s="266"/>
      <c r="M239" s="266"/>
      <c r="N239" s="269"/>
      <c r="O239" s="266"/>
      <c r="P239" s="266"/>
      <c r="Q239" s="266"/>
    </row>
    <row r="240" spans="1:17" s="73" customFormat="1" ht="12.75" x14ac:dyDescent="0.2">
      <c r="A240" s="270"/>
      <c r="C240" s="270"/>
      <c r="D240" s="270"/>
      <c r="E240" s="272"/>
      <c r="L240" s="266"/>
      <c r="M240" s="266"/>
      <c r="N240" s="269"/>
      <c r="O240" s="266"/>
      <c r="P240" s="266"/>
      <c r="Q240" s="266"/>
    </row>
    <row r="241" spans="1:17" s="73" customFormat="1" ht="12.75" x14ac:dyDescent="0.2">
      <c r="A241" s="270"/>
      <c r="C241" s="270"/>
      <c r="D241" s="270"/>
      <c r="E241" s="272"/>
      <c r="L241" s="266"/>
      <c r="M241" s="266"/>
      <c r="N241" s="269"/>
      <c r="O241" s="266"/>
      <c r="P241" s="266"/>
      <c r="Q241" s="266"/>
    </row>
    <row r="242" spans="1:17" s="73" customFormat="1" ht="12.75" x14ac:dyDescent="0.2">
      <c r="A242" s="270"/>
      <c r="C242" s="270"/>
      <c r="D242" s="270"/>
      <c r="E242" s="272"/>
      <c r="L242" s="266"/>
      <c r="M242" s="266"/>
      <c r="N242" s="269"/>
      <c r="O242" s="266"/>
      <c r="P242" s="266"/>
      <c r="Q242" s="266"/>
    </row>
    <row r="243" spans="1:17" s="73" customFormat="1" ht="12.75" x14ac:dyDescent="0.2">
      <c r="A243" s="270"/>
      <c r="C243" s="270"/>
      <c r="D243" s="270"/>
      <c r="E243" s="272"/>
      <c r="L243" s="266"/>
      <c r="M243" s="266"/>
      <c r="N243" s="269"/>
      <c r="O243" s="266"/>
      <c r="P243" s="266"/>
      <c r="Q243" s="266"/>
    </row>
    <row r="244" spans="1:17" s="73" customFormat="1" ht="12.75" x14ac:dyDescent="0.2">
      <c r="A244" s="270"/>
      <c r="C244" s="270"/>
      <c r="D244" s="270"/>
      <c r="E244" s="272"/>
      <c r="L244" s="266"/>
      <c r="M244" s="266"/>
      <c r="N244" s="269"/>
      <c r="O244" s="266"/>
      <c r="P244" s="266"/>
      <c r="Q244" s="266"/>
    </row>
    <row r="245" spans="1:17" s="73" customFormat="1" ht="12.75" x14ac:dyDescent="0.2">
      <c r="A245" s="270"/>
      <c r="C245" s="270"/>
      <c r="D245" s="270"/>
      <c r="E245" s="272"/>
      <c r="L245" s="266"/>
      <c r="M245" s="266"/>
      <c r="N245" s="269"/>
      <c r="O245" s="266"/>
      <c r="P245" s="266"/>
      <c r="Q245" s="266"/>
    </row>
    <row r="246" spans="1:17" s="73" customFormat="1" ht="12.75" x14ac:dyDescent="0.2">
      <c r="A246" s="270"/>
      <c r="C246" s="270"/>
      <c r="D246" s="270"/>
      <c r="E246" s="272"/>
      <c r="L246" s="266"/>
      <c r="M246" s="266"/>
      <c r="N246" s="269"/>
      <c r="O246" s="266"/>
      <c r="P246" s="266"/>
      <c r="Q246" s="266"/>
    </row>
    <row r="247" spans="1:17" s="73" customFormat="1" ht="12.75" x14ac:dyDescent="0.2">
      <c r="A247" s="270"/>
      <c r="C247" s="270"/>
      <c r="D247" s="270"/>
      <c r="E247" s="272"/>
      <c r="L247" s="266"/>
      <c r="M247" s="266"/>
      <c r="N247" s="269"/>
      <c r="O247" s="266"/>
      <c r="P247" s="266"/>
      <c r="Q247" s="266"/>
    </row>
    <row r="248" spans="1:17" s="73" customFormat="1" ht="12.75" x14ac:dyDescent="0.2">
      <c r="A248" s="270"/>
      <c r="C248" s="270"/>
      <c r="D248" s="270"/>
      <c r="E248" s="272"/>
      <c r="L248" s="266"/>
      <c r="M248" s="266"/>
      <c r="N248" s="269"/>
      <c r="O248" s="266"/>
      <c r="P248" s="266"/>
      <c r="Q248" s="266"/>
    </row>
    <row r="249" spans="1:17" s="73" customFormat="1" ht="12.75" x14ac:dyDescent="0.2">
      <c r="A249" s="270"/>
      <c r="C249" s="270"/>
      <c r="D249" s="270"/>
      <c r="E249" s="272"/>
      <c r="L249" s="266"/>
      <c r="M249" s="266"/>
      <c r="N249" s="269"/>
      <c r="O249" s="266"/>
      <c r="P249" s="266"/>
      <c r="Q249" s="266"/>
    </row>
    <row r="250" spans="1:17" s="73" customFormat="1" ht="12.75" x14ac:dyDescent="0.2">
      <c r="A250" s="270"/>
      <c r="C250" s="270"/>
      <c r="D250" s="270"/>
      <c r="E250" s="272"/>
      <c r="L250" s="266"/>
      <c r="M250" s="266"/>
      <c r="N250" s="269"/>
      <c r="O250" s="266"/>
      <c r="P250" s="266"/>
      <c r="Q250" s="266"/>
    </row>
    <row r="251" spans="1:17" s="73" customFormat="1" ht="12.75" x14ac:dyDescent="0.2">
      <c r="A251" s="270"/>
      <c r="C251" s="270"/>
      <c r="D251" s="270"/>
      <c r="E251" s="272"/>
      <c r="L251" s="266"/>
      <c r="M251" s="266"/>
      <c r="N251" s="269"/>
      <c r="O251" s="266"/>
      <c r="P251" s="266"/>
      <c r="Q251" s="266"/>
    </row>
    <row r="252" spans="1:17" s="73" customFormat="1" ht="12.75" x14ac:dyDescent="0.2">
      <c r="A252" s="270"/>
      <c r="C252" s="270"/>
      <c r="D252" s="270"/>
      <c r="E252" s="272"/>
      <c r="L252" s="266"/>
      <c r="M252" s="266"/>
      <c r="N252" s="269"/>
      <c r="O252" s="266"/>
      <c r="P252" s="266"/>
      <c r="Q252" s="266"/>
    </row>
    <row r="253" spans="1:17" s="73" customFormat="1" ht="12.75" x14ac:dyDescent="0.2">
      <c r="A253" s="270"/>
      <c r="C253" s="270"/>
      <c r="D253" s="270"/>
      <c r="E253" s="272"/>
      <c r="L253" s="266"/>
      <c r="M253" s="266"/>
      <c r="N253" s="269"/>
      <c r="O253" s="266"/>
      <c r="P253" s="266"/>
      <c r="Q253" s="266"/>
    </row>
    <row r="254" spans="1:17" s="73" customFormat="1" ht="12.75" x14ac:dyDescent="0.2">
      <c r="A254" s="270"/>
      <c r="C254" s="270"/>
      <c r="D254" s="270"/>
      <c r="E254" s="272"/>
      <c r="L254" s="266"/>
      <c r="M254" s="266"/>
      <c r="N254" s="269"/>
      <c r="O254" s="266"/>
      <c r="P254" s="266"/>
      <c r="Q254" s="266"/>
    </row>
    <row r="255" spans="1:17" s="73" customFormat="1" ht="12.75" x14ac:dyDescent="0.2">
      <c r="A255" s="270"/>
      <c r="C255" s="270"/>
      <c r="D255" s="270"/>
      <c r="E255" s="272"/>
      <c r="L255" s="266"/>
      <c r="M255" s="266"/>
      <c r="N255" s="269"/>
      <c r="O255" s="266"/>
      <c r="P255" s="266"/>
      <c r="Q255" s="266"/>
    </row>
    <row r="256" spans="1:17" s="73" customFormat="1" ht="12.75" x14ac:dyDescent="0.2">
      <c r="A256" s="270"/>
      <c r="C256" s="270"/>
      <c r="D256" s="270"/>
      <c r="E256" s="272"/>
      <c r="L256" s="266"/>
      <c r="M256" s="266"/>
      <c r="N256" s="269"/>
      <c r="O256" s="266"/>
      <c r="P256" s="266"/>
      <c r="Q256" s="266"/>
    </row>
    <row r="257" spans="1:17" s="73" customFormat="1" ht="12.75" x14ac:dyDescent="0.2">
      <c r="A257" s="270"/>
      <c r="C257" s="270"/>
      <c r="D257" s="270"/>
      <c r="E257" s="272"/>
      <c r="L257" s="266"/>
      <c r="M257" s="266"/>
      <c r="N257" s="269"/>
      <c r="O257" s="266"/>
      <c r="P257" s="266"/>
      <c r="Q257" s="266"/>
    </row>
    <row r="258" spans="1:17" s="73" customFormat="1" ht="12.75" x14ac:dyDescent="0.2">
      <c r="A258" s="270"/>
      <c r="C258" s="270"/>
      <c r="D258" s="270"/>
      <c r="E258" s="272"/>
      <c r="L258" s="266"/>
      <c r="M258" s="266"/>
      <c r="N258" s="269"/>
      <c r="O258" s="266"/>
      <c r="P258" s="266"/>
      <c r="Q258" s="266"/>
    </row>
    <row r="259" spans="1:17" s="73" customFormat="1" ht="12.75" x14ac:dyDescent="0.2">
      <c r="A259" s="270"/>
      <c r="C259" s="270"/>
      <c r="D259" s="270"/>
      <c r="E259" s="272"/>
      <c r="L259" s="266"/>
      <c r="M259" s="266"/>
      <c r="N259" s="269"/>
      <c r="O259" s="266"/>
      <c r="P259" s="266"/>
      <c r="Q259" s="266"/>
    </row>
    <row r="260" spans="1:17" s="73" customFormat="1" ht="12.75" x14ac:dyDescent="0.2">
      <c r="A260" s="270"/>
      <c r="C260" s="270"/>
      <c r="D260" s="270"/>
      <c r="E260" s="272"/>
      <c r="L260" s="266"/>
      <c r="M260" s="266"/>
      <c r="N260" s="269"/>
      <c r="O260" s="266"/>
      <c r="P260" s="266"/>
      <c r="Q260" s="266"/>
    </row>
    <row r="261" spans="1:17" s="73" customFormat="1" ht="12.75" x14ac:dyDescent="0.2">
      <c r="A261" s="270"/>
      <c r="C261" s="270"/>
      <c r="D261" s="270"/>
      <c r="E261" s="272"/>
      <c r="L261" s="266"/>
      <c r="M261" s="266"/>
      <c r="N261" s="269"/>
      <c r="O261" s="266"/>
      <c r="P261" s="266"/>
      <c r="Q261" s="266"/>
    </row>
    <row r="262" spans="1:17" s="73" customFormat="1" ht="12.75" x14ac:dyDescent="0.2">
      <c r="A262" s="270"/>
      <c r="C262" s="270"/>
      <c r="D262" s="270"/>
      <c r="E262" s="272"/>
      <c r="L262" s="266"/>
      <c r="M262" s="266"/>
      <c r="N262" s="269"/>
      <c r="O262" s="266"/>
      <c r="P262" s="266"/>
      <c r="Q262" s="266"/>
    </row>
    <row r="263" spans="1:17" s="73" customFormat="1" ht="12.75" x14ac:dyDescent="0.2">
      <c r="A263" s="270"/>
      <c r="C263" s="270"/>
      <c r="D263" s="270"/>
      <c r="E263" s="272"/>
      <c r="L263" s="266"/>
      <c r="M263" s="266"/>
      <c r="N263" s="269"/>
      <c r="O263" s="266"/>
      <c r="P263" s="266"/>
      <c r="Q263" s="266"/>
    </row>
    <row r="264" spans="1:17" s="73" customFormat="1" ht="12.75" x14ac:dyDescent="0.2">
      <c r="A264" s="270"/>
      <c r="C264" s="270"/>
      <c r="D264" s="270"/>
      <c r="E264" s="272"/>
      <c r="L264" s="266"/>
      <c r="M264" s="266"/>
      <c r="N264" s="269"/>
      <c r="O264" s="266"/>
      <c r="P264" s="266"/>
      <c r="Q264" s="266"/>
    </row>
    <row r="265" spans="1:17" s="73" customFormat="1" ht="12.75" x14ac:dyDescent="0.2">
      <c r="A265" s="270"/>
      <c r="C265" s="270"/>
      <c r="D265" s="270"/>
      <c r="E265" s="272"/>
      <c r="L265" s="266"/>
      <c r="M265" s="266"/>
      <c r="N265" s="269"/>
      <c r="O265" s="266"/>
      <c r="P265" s="266"/>
      <c r="Q265" s="266"/>
    </row>
    <row r="266" spans="1:17" s="73" customFormat="1" ht="12.75" x14ac:dyDescent="0.2">
      <c r="A266" s="270"/>
      <c r="C266" s="270"/>
      <c r="D266" s="270"/>
      <c r="E266" s="272"/>
      <c r="L266" s="266"/>
      <c r="M266" s="266"/>
      <c r="N266" s="269"/>
      <c r="O266" s="266"/>
      <c r="P266" s="266"/>
      <c r="Q266" s="266"/>
    </row>
    <row r="267" spans="1:17" s="73" customFormat="1" ht="12.75" x14ac:dyDescent="0.2">
      <c r="A267" s="270"/>
      <c r="C267" s="270"/>
      <c r="D267" s="270"/>
      <c r="E267" s="272"/>
      <c r="L267" s="266"/>
      <c r="M267" s="266"/>
      <c r="N267" s="269"/>
      <c r="O267" s="266"/>
      <c r="P267" s="266"/>
      <c r="Q267" s="266"/>
    </row>
    <row r="268" spans="1:17" s="73" customFormat="1" ht="12.75" x14ac:dyDescent="0.2">
      <c r="A268" s="270"/>
      <c r="C268" s="270"/>
      <c r="D268" s="270"/>
      <c r="E268" s="272"/>
      <c r="L268" s="266"/>
      <c r="M268" s="266"/>
      <c r="N268" s="269"/>
      <c r="O268" s="266"/>
      <c r="P268" s="266"/>
      <c r="Q268" s="266"/>
    </row>
    <row r="269" spans="1:17" s="73" customFormat="1" ht="12.75" x14ac:dyDescent="0.2">
      <c r="A269" s="270"/>
      <c r="C269" s="270"/>
      <c r="D269" s="270"/>
      <c r="E269" s="272"/>
      <c r="L269" s="266"/>
      <c r="M269" s="266"/>
      <c r="N269" s="269"/>
      <c r="O269" s="266"/>
      <c r="P269" s="266"/>
      <c r="Q269" s="266"/>
    </row>
    <row r="270" spans="1:17" s="73" customFormat="1" ht="12.75" x14ac:dyDescent="0.2">
      <c r="A270" s="270"/>
      <c r="C270" s="270"/>
      <c r="D270" s="270"/>
      <c r="E270" s="272"/>
      <c r="L270" s="266"/>
      <c r="M270" s="266"/>
      <c r="N270" s="269"/>
      <c r="O270" s="266"/>
      <c r="P270" s="266"/>
      <c r="Q270" s="266"/>
    </row>
    <row r="271" spans="1:17" s="73" customFormat="1" ht="12.75" x14ac:dyDescent="0.2">
      <c r="A271" s="270"/>
      <c r="C271" s="270"/>
      <c r="D271" s="270"/>
      <c r="E271" s="272"/>
      <c r="L271" s="266"/>
      <c r="M271" s="266"/>
      <c r="N271" s="269"/>
      <c r="O271" s="266"/>
      <c r="P271" s="266"/>
      <c r="Q271" s="266"/>
    </row>
    <row r="272" spans="1:17" s="73" customFormat="1" ht="12.75" x14ac:dyDescent="0.2">
      <c r="A272" s="270"/>
      <c r="C272" s="270"/>
      <c r="D272" s="270"/>
      <c r="E272" s="272"/>
      <c r="L272" s="266"/>
      <c r="M272" s="266"/>
      <c r="N272" s="269"/>
      <c r="O272" s="266"/>
      <c r="P272" s="266"/>
      <c r="Q272" s="266"/>
    </row>
    <row r="273" spans="1:17" s="73" customFormat="1" ht="12.75" x14ac:dyDescent="0.2">
      <c r="A273" s="270"/>
      <c r="C273" s="270"/>
      <c r="D273" s="270"/>
      <c r="E273" s="272"/>
      <c r="L273" s="266"/>
      <c r="M273" s="266"/>
      <c r="N273" s="269"/>
      <c r="O273" s="266"/>
      <c r="P273" s="266"/>
      <c r="Q273" s="266"/>
    </row>
    <row r="274" spans="1:17" s="73" customFormat="1" ht="12.75" x14ac:dyDescent="0.2">
      <c r="A274" s="270"/>
      <c r="C274" s="270"/>
      <c r="D274" s="270"/>
      <c r="E274" s="272"/>
      <c r="L274" s="266"/>
      <c r="M274" s="266"/>
      <c r="N274" s="269"/>
      <c r="O274" s="266"/>
      <c r="P274" s="266"/>
      <c r="Q274" s="266"/>
    </row>
    <row r="275" spans="1:17" s="73" customFormat="1" ht="12.75" x14ac:dyDescent="0.2">
      <c r="A275" s="270"/>
      <c r="C275" s="270"/>
      <c r="D275" s="270"/>
      <c r="E275" s="272"/>
      <c r="L275" s="266"/>
      <c r="M275" s="266"/>
      <c r="N275" s="269"/>
      <c r="O275" s="266"/>
      <c r="P275" s="266"/>
      <c r="Q275" s="266"/>
    </row>
    <row r="276" spans="1:17" s="73" customFormat="1" ht="12.75" x14ac:dyDescent="0.2">
      <c r="A276" s="270"/>
      <c r="C276" s="270"/>
      <c r="D276" s="270"/>
      <c r="E276" s="272"/>
      <c r="L276" s="266"/>
      <c r="M276" s="266"/>
      <c r="N276" s="269"/>
      <c r="O276" s="266"/>
      <c r="P276" s="266"/>
      <c r="Q276" s="266"/>
    </row>
    <row r="277" spans="1:17" s="73" customFormat="1" ht="12.75" x14ac:dyDescent="0.2">
      <c r="A277" s="270"/>
      <c r="C277" s="270"/>
      <c r="D277" s="270"/>
      <c r="E277" s="272"/>
      <c r="L277" s="266"/>
      <c r="M277" s="266"/>
      <c r="N277" s="269"/>
      <c r="O277" s="266"/>
      <c r="P277" s="266"/>
      <c r="Q277" s="266"/>
    </row>
    <row r="278" spans="1:17" s="73" customFormat="1" ht="12.75" x14ac:dyDescent="0.2">
      <c r="A278" s="270"/>
      <c r="C278" s="270"/>
      <c r="D278" s="270"/>
      <c r="E278" s="272"/>
      <c r="L278" s="266"/>
      <c r="M278" s="266"/>
      <c r="N278" s="269"/>
      <c r="O278" s="266"/>
      <c r="P278" s="266"/>
      <c r="Q278" s="266"/>
    </row>
    <row r="279" spans="1:17" s="73" customFormat="1" ht="12.75" x14ac:dyDescent="0.2">
      <c r="A279" s="270"/>
      <c r="C279" s="270"/>
      <c r="D279" s="270"/>
      <c r="E279" s="272"/>
      <c r="L279" s="266"/>
      <c r="M279" s="266"/>
      <c r="N279" s="269"/>
      <c r="O279" s="266"/>
      <c r="P279" s="266"/>
      <c r="Q279" s="266"/>
    </row>
    <row r="280" spans="1:17" s="73" customFormat="1" ht="12.75" x14ac:dyDescent="0.2">
      <c r="A280" s="270"/>
      <c r="C280" s="270"/>
      <c r="D280" s="270"/>
      <c r="E280" s="272"/>
      <c r="L280" s="266"/>
      <c r="M280" s="266"/>
      <c r="N280" s="269"/>
      <c r="O280" s="266"/>
      <c r="P280" s="266"/>
      <c r="Q280" s="266"/>
    </row>
    <row r="281" spans="1:17" s="73" customFormat="1" ht="12.75" x14ac:dyDescent="0.2">
      <c r="A281" s="270"/>
      <c r="C281" s="270"/>
      <c r="D281" s="270"/>
      <c r="E281" s="272"/>
      <c r="L281" s="266"/>
      <c r="M281" s="266"/>
      <c r="N281" s="269"/>
      <c r="O281" s="266"/>
      <c r="P281" s="266"/>
      <c r="Q281" s="266"/>
    </row>
    <row r="282" spans="1:17" s="73" customFormat="1" ht="12.75" x14ac:dyDescent="0.2">
      <c r="A282" s="270"/>
      <c r="C282" s="270"/>
      <c r="D282" s="270"/>
      <c r="E282" s="272"/>
      <c r="L282" s="266"/>
      <c r="M282" s="266"/>
      <c r="N282" s="269"/>
      <c r="O282" s="266"/>
      <c r="P282" s="266"/>
      <c r="Q282" s="266"/>
    </row>
    <row r="283" spans="1:17" s="73" customFormat="1" ht="12.75" x14ac:dyDescent="0.2">
      <c r="A283" s="270"/>
      <c r="C283" s="270"/>
      <c r="D283" s="270"/>
      <c r="E283" s="272"/>
      <c r="L283" s="266"/>
      <c r="M283" s="266"/>
      <c r="N283" s="269"/>
      <c r="O283" s="266"/>
      <c r="P283" s="266"/>
      <c r="Q283" s="266"/>
    </row>
    <row r="284" spans="1:17" s="73" customFormat="1" ht="12.75" x14ac:dyDescent="0.2">
      <c r="A284" s="270"/>
      <c r="C284" s="270"/>
      <c r="D284" s="270"/>
      <c r="E284" s="272"/>
      <c r="L284" s="266"/>
      <c r="M284" s="266"/>
      <c r="N284" s="269"/>
      <c r="O284" s="266"/>
      <c r="P284" s="266"/>
      <c r="Q284" s="266"/>
    </row>
    <row r="285" spans="1:17" s="73" customFormat="1" ht="12.75" x14ac:dyDescent="0.2">
      <c r="A285" s="270"/>
      <c r="C285" s="270"/>
      <c r="D285" s="270"/>
      <c r="E285" s="272"/>
      <c r="L285" s="266"/>
      <c r="M285" s="266"/>
      <c r="N285" s="269"/>
      <c r="O285" s="266"/>
      <c r="P285" s="266"/>
      <c r="Q285" s="266"/>
    </row>
    <row r="286" spans="1:17" s="73" customFormat="1" ht="12.75" x14ac:dyDescent="0.2">
      <c r="A286" s="270"/>
      <c r="C286" s="270"/>
      <c r="D286" s="270"/>
      <c r="E286" s="272"/>
      <c r="L286" s="266"/>
      <c r="M286" s="266"/>
      <c r="N286" s="269"/>
      <c r="O286" s="266"/>
      <c r="P286" s="266"/>
      <c r="Q286" s="266"/>
    </row>
    <row r="287" spans="1:17" s="73" customFormat="1" ht="12.75" x14ac:dyDescent="0.2">
      <c r="A287" s="270"/>
      <c r="C287" s="270"/>
      <c r="D287" s="270"/>
      <c r="E287" s="272"/>
      <c r="L287" s="266"/>
      <c r="M287" s="266"/>
      <c r="N287" s="269"/>
      <c r="O287" s="266"/>
      <c r="P287" s="266"/>
      <c r="Q287" s="266"/>
    </row>
    <row r="288" spans="1:17" s="73" customFormat="1" ht="12.75" x14ac:dyDescent="0.2">
      <c r="A288" s="270"/>
      <c r="C288" s="270"/>
      <c r="D288" s="270"/>
      <c r="E288" s="272"/>
      <c r="L288" s="266"/>
      <c r="M288" s="266"/>
      <c r="N288" s="269"/>
      <c r="O288" s="266"/>
      <c r="P288" s="266"/>
      <c r="Q288" s="266"/>
    </row>
    <row r="289" spans="1:17" s="73" customFormat="1" ht="12.75" x14ac:dyDescent="0.2">
      <c r="A289" s="270"/>
      <c r="C289" s="270"/>
      <c r="D289" s="270"/>
      <c r="E289" s="272"/>
      <c r="L289" s="266"/>
      <c r="M289" s="266"/>
      <c r="N289" s="269"/>
      <c r="O289" s="266"/>
      <c r="P289" s="266"/>
      <c r="Q289" s="266"/>
    </row>
    <row r="290" spans="1:17" s="73" customFormat="1" ht="12.75" x14ac:dyDescent="0.2">
      <c r="A290" s="270"/>
      <c r="C290" s="270"/>
      <c r="D290" s="270"/>
      <c r="E290" s="272"/>
      <c r="L290" s="266"/>
      <c r="M290" s="266"/>
      <c r="N290" s="269"/>
      <c r="O290" s="266"/>
      <c r="P290" s="266"/>
      <c r="Q290" s="266"/>
    </row>
    <row r="291" spans="1:17" s="73" customFormat="1" ht="12.75" x14ac:dyDescent="0.2">
      <c r="A291" s="270"/>
      <c r="C291" s="270"/>
      <c r="D291" s="270"/>
      <c r="E291" s="272"/>
      <c r="L291" s="266"/>
      <c r="M291" s="266"/>
      <c r="N291" s="269"/>
      <c r="O291" s="266"/>
      <c r="P291" s="266"/>
      <c r="Q291" s="266"/>
    </row>
    <row r="292" spans="1:17" s="73" customFormat="1" ht="12.75" x14ac:dyDescent="0.2">
      <c r="A292" s="270"/>
      <c r="C292" s="270"/>
      <c r="D292" s="270"/>
      <c r="E292" s="272"/>
      <c r="L292" s="266"/>
      <c r="M292" s="266"/>
      <c r="N292" s="269"/>
      <c r="O292" s="266"/>
      <c r="P292" s="266"/>
      <c r="Q292" s="266"/>
    </row>
    <row r="293" spans="1:17" s="73" customFormat="1" ht="12.75" x14ac:dyDescent="0.2">
      <c r="A293" s="270"/>
      <c r="C293" s="270"/>
      <c r="D293" s="270"/>
      <c r="E293" s="272"/>
      <c r="L293" s="266"/>
      <c r="M293" s="266"/>
      <c r="N293" s="269"/>
      <c r="O293" s="266"/>
      <c r="P293" s="266"/>
      <c r="Q293" s="266"/>
    </row>
    <row r="294" spans="1:17" s="73" customFormat="1" ht="12.75" x14ac:dyDescent="0.2">
      <c r="A294" s="270"/>
      <c r="C294" s="270"/>
      <c r="D294" s="270"/>
      <c r="E294" s="272"/>
      <c r="L294" s="266"/>
      <c r="M294" s="266"/>
      <c r="N294" s="269"/>
      <c r="O294" s="266"/>
      <c r="P294" s="266"/>
      <c r="Q294" s="266"/>
    </row>
    <row r="295" spans="1:17" s="73" customFormat="1" ht="12.75" x14ac:dyDescent="0.2">
      <c r="A295" s="270"/>
      <c r="C295" s="270"/>
      <c r="D295" s="270"/>
      <c r="E295" s="272"/>
      <c r="L295" s="266"/>
      <c r="M295" s="266"/>
      <c r="N295" s="269"/>
      <c r="O295" s="266"/>
      <c r="P295" s="266"/>
      <c r="Q295" s="266"/>
    </row>
    <row r="296" spans="1:17" s="73" customFormat="1" ht="12.75" x14ac:dyDescent="0.2">
      <c r="A296" s="270"/>
      <c r="C296" s="270"/>
      <c r="D296" s="270"/>
      <c r="E296" s="272"/>
      <c r="L296" s="266"/>
      <c r="M296" s="266"/>
      <c r="N296" s="269"/>
      <c r="O296" s="266"/>
      <c r="P296" s="266"/>
      <c r="Q296" s="266"/>
    </row>
    <row r="297" spans="1:17" s="73" customFormat="1" ht="12.75" x14ac:dyDescent="0.2">
      <c r="A297" s="270"/>
      <c r="C297" s="270"/>
      <c r="D297" s="270"/>
      <c r="E297" s="272"/>
      <c r="L297" s="266"/>
      <c r="M297" s="266"/>
      <c r="N297" s="269"/>
      <c r="O297" s="266"/>
      <c r="P297" s="266"/>
      <c r="Q297" s="266"/>
    </row>
    <row r="298" spans="1:17" s="73" customFormat="1" ht="12.75" x14ac:dyDescent="0.2">
      <c r="A298" s="270"/>
      <c r="C298" s="270"/>
      <c r="D298" s="270"/>
      <c r="E298" s="272"/>
      <c r="L298" s="266"/>
      <c r="M298" s="266"/>
      <c r="N298" s="269"/>
      <c r="O298" s="266"/>
      <c r="P298" s="266"/>
      <c r="Q298" s="266"/>
    </row>
    <row r="299" spans="1:17" s="73" customFormat="1" ht="12.75" x14ac:dyDescent="0.2">
      <c r="A299" s="270"/>
      <c r="C299" s="270"/>
      <c r="D299" s="270"/>
      <c r="E299" s="272"/>
      <c r="L299" s="266"/>
      <c r="M299" s="266"/>
      <c r="N299" s="269"/>
      <c r="O299" s="266"/>
      <c r="P299" s="266"/>
      <c r="Q299" s="266"/>
    </row>
    <row r="300" spans="1:17" s="73" customFormat="1" ht="12.75" x14ac:dyDescent="0.2">
      <c r="A300" s="270"/>
      <c r="C300" s="270"/>
      <c r="D300" s="270"/>
      <c r="E300" s="272"/>
      <c r="L300" s="266"/>
      <c r="M300" s="266"/>
      <c r="N300" s="269"/>
      <c r="O300" s="266"/>
      <c r="P300" s="266"/>
      <c r="Q300" s="266"/>
    </row>
    <row r="301" spans="1:17" s="73" customFormat="1" ht="12.75" x14ac:dyDescent="0.2">
      <c r="A301" s="270"/>
      <c r="C301" s="270"/>
      <c r="D301" s="270"/>
      <c r="E301" s="272"/>
      <c r="L301" s="266"/>
      <c r="M301" s="266"/>
      <c r="N301" s="269"/>
      <c r="O301" s="266"/>
      <c r="P301" s="266"/>
      <c r="Q301" s="266"/>
    </row>
    <row r="302" spans="1:17" s="73" customFormat="1" ht="12.75" x14ac:dyDescent="0.2">
      <c r="A302" s="270"/>
      <c r="C302" s="270"/>
      <c r="D302" s="270"/>
      <c r="E302" s="272"/>
      <c r="L302" s="266"/>
      <c r="M302" s="266"/>
      <c r="N302" s="269"/>
      <c r="O302" s="266"/>
      <c r="P302" s="266"/>
      <c r="Q302" s="266"/>
    </row>
    <row r="303" spans="1:17" s="73" customFormat="1" ht="12.75" x14ac:dyDescent="0.2">
      <c r="A303" s="270"/>
      <c r="C303" s="270"/>
      <c r="D303" s="270"/>
      <c r="E303" s="272"/>
      <c r="L303" s="266"/>
      <c r="M303" s="266"/>
      <c r="N303" s="269"/>
      <c r="O303" s="266"/>
      <c r="P303" s="266"/>
      <c r="Q303" s="266"/>
    </row>
    <row r="304" spans="1:17" s="73" customFormat="1" ht="12.75" x14ac:dyDescent="0.2">
      <c r="A304" s="270"/>
      <c r="C304" s="270"/>
      <c r="D304" s="270"/>
      <c r="E304" s="272"/>
      <c r="L304" s="266"/>
      <c r="M304" s="266"/>
      <c r="N304" s="269"/>
      <c r="O304" s="266"/>
      <c r="P304" s="266"/>
      <c r="Q304" s="266"/>
    </row>
  </sheetData>
  <autoFilter ref="A20:AN68"/>
  <dataConsolidate/>
  <mergeCells count="47">
    <mergeCell ref="A3:B3"/>
    <mergeCell ref="A6:B6"/>
    <mergeCell ref="A9:B9"/>
    <mergeCell ref="A12:B12"/>
    <mergeCell ref="A18:A21"/>
    <mergeCell ref="B18:B21"/>
    <mergeCell ref="M18:M20"/>
    <mergeCell ref="N18:N20"/>
    <mergeCell ref="C18:C21"/>
    <mergeCell ref="D18:D21"/>
    <mergeCell ref="E18:E21"/>
    <mergeCell ref="F18:F21"/>
    <mergeCell ref="G18:G21"/>
    <mergeCell ref="H18:H21"/>
    <mergeCell ref="A22:B22"/>
    <mergeCell ref="I18:I20"/>
    <mergeCell ref="J18:J21"/>
    <mergeCell ref="K18:K21"/>
    <mergeCell ref="L18:L20"/>
    <mergeCell ref="O18:O20"/>
    <mergeCell ref="P18:P21"/>
    <mergeCell ref="Q18:Q21"/>
    <mergeCell ref="R18:R21"/>
    <mergeCell ref="U18:W19"/>
    <mergeCell ref="L67:O67"/>
    <mergeCell ref="A23:B23"/>
    <mergeCell ref="C36:C37"/>
    <mergeCell ref="D36:D37"/>
    <mergeCell ref="E36:E37"/>
    <mergeCell ref="C42:C44"/>
    <mergeCell ref="D42:D44"/>
    <mergeCell ref="E42:E44"/>
    <mergeCell ref="C55:D55"/>
    <mergeCell ref="C59:D59"/>
    <mergeCell ref="C62:D62"/>
    <mergeCell ref="C64:D64"/>
    <mergeCell ref="A73:J73"/>
    <mergeCell ref="L73:R73"/>
    <mergeCell ref="A74:I74"/>
    <mergeCell ref="A75:I75"/>
    <mergeCell ref="A68:B68"/>
    <mergeCell ref="A70:J70"/>
    <mergeCell ref="L70:R70"/>
    <mergeCell ref="A71:J71"/>
    <mergeCell ref="L71:R71"/>
    <mergeCell ref="A72:J72"/>
    <mergeCell ref="L72:R72"/>
  </mergeCells>
  <conditionalFormatting sqref="A19:B21 F19:I21 S70:XFD71 A70:A71 K74:K75 A74 S66:XFD66 L67 L66:Q66 K70:L71 P67:XFD67 L74:XFD1048576 K19:M21 O19:XFD21 C66:K67 A76:K1048576 A1:XFD18 A68:XFD69 A22:XFD65">
    <cfRule type="cellIs" dxfId="7" priority="8" operator="lessThanOrEqual">
      <formula>0</formula>
    </cfRule>
  </conditionalFormatting>
  <conditionalFormatting sqref="A66:B66">
    <cfRule type="cellIs" dxfId="6" priority="7" operator="lessThanOrEqual">
      <formula>0</formula>
    </cfRule>
  </conditionalFormatting>
  <conditionalFormatting sqref="A67:B67">
    <cfRule type="cellIs" dxfId="5" priority="6" operator="lessThanOrEqual">
      <formula>0</formula>
    </cfRule>
  </conditionalFormatting>
  <conditionalFormatting sqref="A75">
    <cfRule type="cellIs" dxfId="4" priority="5" operator="lessThanOrEqual">
      <formula>0</formula>
    </cfRule>
  </conditionalFormatting>
  <conditionalFormatting sqref="S72:XFD73 K72:K73 L73">
    <cfRule type="cellIs" dxfId="3" priority="4" operator="lessThanOrEqual">
      <formula>0</formula>
    </cfRule>
  </conditionalFormatting>
  <conditionalFormatting sqref="A72:A73">
    <cfRule type="cellIs" dxfId="2" priority="3" operator="lessThanOrEqual">
      <formula>0</formula>
    </cfRule>
  </conditionalFormatting>
  <conditionalFormatting sqref="R66">
    <cfRule type="cellIs" dxfId="1" priority="2" operator="lessThanOrEqual">
      <formula>0</formula>
    </cfRule>
  </conditionalFormatting>
  <conditionalFormatting sqref="L72">
    <cfRule type="cellIs" dxfId="0" priority="1" operator="lessThanOrEqual">
      <formula>0</formula>
    </cfRule>
  </conditionalFormatting>
  <pageMargins left="0.59055118110236227" right="0.19685039370078741" top="0.39370078740157483" bottom="0.39370078740157483" header="0.31496062992125984" footer="0.31496062992125984"/>
  <pageSetup paperSize="9" scale="48" fitToHeight="0" orientation="landscape"/>
  <headerFooter>
    <oddFooter>&amp;R&amp;P</oddFooter>
  </headerFooter>
  <colBreaks count="1" manualBreakCount="1">
    <brk id="17" min="16" max="72" man="1"/>
  </colBreak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7"/>
  <sheetViews>
    <sheetView zoomScale="85" zoomScaleNormal="85" zoomScaleSheetLayoutView="70" workbookViewId="0">
      <selection activeCell="B16" sqref="B16"/>
    </sheetView>
  </sheetViews>
  <sheetFormatPr defaultRowHeight="15" outlineLevelCol="1" x14ac:dyDescent="0.25"/>
  <cols>
    <col min="1" max="1" width="4.7109375" style="17" customWidth="1"/>
    <col min="2" max="2" width="61.85546875" style="17" customWidth="1"/>
    <col min="3" max="3" width="15.7109375" style="17" customWidth="1" outlineLevel="1"/>
    <col min="4" max="10" width="16.7109375" style="17" customWidth="1" outlineLevel="1"/>
    <col min="11" max="11" width="16.7109375" style="58" customWidth="1" outlineLevel="1"/>
    <col min="12" max="12" width="16.7109375" style="58" customWidth="1"/>
    <col min="13" max="243" width="9.140625" style="17"/>
    <col min="244" max="244" width="3.5703125" style="17" customWidth="1"/>
    <col min="245" max="245" width="70.140625" style="17" customWidth="1"/>
    <col min="246" max="246" width="15.7109375" style="17" customWidth="1"/>
    <col min="247" max="248" width="12.5703125" style="17" bestFit="1" customWidth="1"/>
    <col min="249" max="249" width="11.28515625" style="17" customWidth="1"/>
    <col min="250" max="499" width="9.140625" style="17"/>
    <col min="500" max="500" width="3.5703125" style="17" customWidth="1"/>
    <col min="501" max="501" width="70.140625" style="17" customWidth="1"/>
    <col min="502" max="502" width="15.7109375" style="17" customWidth="1"/>
    <col min="503" max="504" width="12.5703125" style="17" bestFit="1" customWidth="1"/>
    <col min="505" max="505" width="11.28515625" style="17" customWidth="1"/>
    <col min="506" max="755" width="9.140625" style="17"/>
    <col min="756" max="756" width="3.5703125" style="17" customWidth="1"/>
    <col min="757" max="757" width="70.140625" style="17" customWidth="1"/>
    <col min="758" max="758" width="15.7109375" style="17" customWidth="1"/>
    <col min="759" max="760" width="12.5703125" style="17" bestFit="1" customWidth="1"/>
    <col min="761" max="761" width="11.28515625" style="17" customWidth="1"/>
    <col min="762" max="1011" width="9.140625" style="17"/>
    <col min="1012" max="1012" width="3.5703125" style="17" customWidth="1"/>
    <col min="1013" max="1013" width="70.140625" style="17" customWidth="1"/>
    <col min="1014" max="1014" width="15.7109375" style="17" customWidth="1"/>
    <col min="1015" max="1016" width="12.5703125" style="17" bestFit="1" customWidth="1"/>
    <col min="1017" max="1017" width="11.28515625" style="17" customWidth="1"/>
    <col min="1018" max="1267" width="9.140625" style="17"/>
    <col min="1268" max="1268" width="3.5703125" style="17" customWidth="1"/>
    <col min="1269" max="1269" width="70.140625" style="17" customWidth="1"/>
    <col min="1270" max="1270" width="15.7109375" style="17" customWidth="1"/>
    <col min="1271" max="1272" width="12.5703125" style="17" bestFit="1" customWidth="1"/>
    <col min="1273" max="1273" width="11.28515625" style="17" customWidth="1"/>
    <col min="1274" max="1523" width="9.140625" style="17"/>
    <col min="1524" max="1524" width="3.5703125" style="17" customWidth="1"/>
    <col min="1525" max="1525" width="70.140625" style="17" customWidth="1"/>
    <col min="1526" max="1526" width="15.7109375" style="17" customWidth="1"/>
    <col min="1527" max="1528" width="12.5703125" style="17" bestFit="1" customWidth="1"/>
    <col min="1529" max="1529" width="11.28515625" style="17" customWidth="1"/>
    <col min="1530" max="1779" width="9.140625" style="17"/>
    <col min="1780" max="1780" width="3.5703125" style="17" customWidth="1"/>
    <col min="1781" max="1781" width="70.140625" style="17" customWidth="1"/>
    <col min="1782" max="1782" width="15.7109375" style="17" customWidth="1"/>
    <col min="1783" max="1784" width="12.5703125" style="17" bestFit="1" customWidth="1"/>
    <col min="1785" max="1785" width="11.28515625" style="17" customWidth="1"/>
    <col min="1786" max="2035" width="9.140625" style="17"/>
    <col min="2036" max="2036" width="3.5703125" style="17" customWidth="1"/>
    <col min="2037" max="2037" width="70.140625" style="17" customWidth="1"/>
    <col min="2038" max="2038" width="15.7109375" style="17" customWidth="1"/>
    <col min="2039" max="2040" width="12.5703125" style="17" bestFit="1" customWidth="1"/>
    <col min="2041" max="2041" width="11.28515625" style="17" customWidth="1"/>
    <col min="2042" max="2291" width="9.140625" style="17"/>
    <col min="2292" max="2292" width="3.5703125" style="17" customWidth="1"/>
    <col min="2293" max="2293" width="70.140625" style="17" customWidth="1"/>
    <col min="2294" max="2294" width="15.7109375" style="17" customWidth="1"/>
    <col min="2295" max="2296" width="12.5703125" style="17" bestFit="1" customWidth="1"/>
    <col min="2297" max="2297" width="11.28515625" style="17" customWidth="1"/>
    <col min="2298" max="2547" width="9.140625" style="17"/>
    <col min="2548" max="2548" width="3.5703125" style="17" customWidth="1"/>
    <col min="2549" max="2549" width="70.140625" style="17" customWidth="1"/>
    <col min="2550" max="2550" width="15.7109375" style="17" customWidth="1"/>
    <col min="2551" max="2552" width="12.5703125" style="17" bestFit="1" customWidth="1"/>
    <col min="2553" max="2553" width="11.28515625" style="17" customWidth="1"/>
    <col min="2554" max="2803" width="9.140625" style="17"/>
    <col min="2804" max="2804" width="3.5703125" style="17" customWidth="1"/>
    <col min="2805" max="2805" width="70.140625" style="17" customWidth="1"/>
    <col min="2806" max="2806" width="15.7109375" style="17" customWidth="1"/>
    <col min="2807" max="2808" width="12.5703125" style="17" bestFit="1" customWidth="1"/>
    <col min="2809" max="2809" width="11.28515625" style="17" customWidth="1"/>
    <col min="2810" max="3059" width="9.140625" style="17"/>
    <col min="3060" max="3060" width="3.5703125" style="17" customWidth="1"/>
    <col min="3061" max="3061" width="70.140625" style="17" customWidth="1"/>
    <col min="3062" max="3062" width="15.7109375" style="17" customWidth="1"/>
    <col min="3063" max="3064" width="12.5703125" style="17" bestFit="1" customWidth="1"/>
    <col min="3065" max="3065" width="11.28515625" style="17" customWidth="1"/>
    <col min="3066" max="3315" width="9.140625" style="17"/>
    <col min="3316" max="3316" width="3.5703125" style="17" customWidth="1"/>
    <col min="3317" max="3317" width="70.140625" style="17" customWidth="1"/>
    <col min="3318" max="3318" width="15.7109375" style="17" customWidth="1"/>
    <col min="3319" max="3320" width="12.5703125" style="17" bestFit="1" customWidth="1"/>
    <col min="3321" max="3321" width="11.28515625" style="17" customWidth="1"/>
    <col min="3322" max="3571" width="9.140625" style="17"/>
    <col min="3572" max="3572" width="3.5703125" style="17" customWidth="1"/>
    <col min="3573" max="3573" width="70.140625" style="17" customWidth="1"/>
    <col min="3574" max="3574" width="15.7109375" style="17" customWidth="1"/>
    <col min="3575" max="3576" width="12.5703125" style="17" bestFit="1" customWidth="1"/>
    <col min="3577" max="3577" width="11.28515625" style="17" customWidth="1"/>
    <col min="3578" max="3827" width="9.140625" style="17"/>
    <col min="3828" max="3828" width="3.5703125" style="17" customWidth="1"/>
    <col min="3829" max="3829" width="70.140625" style="17" customWidth="1"/>
    <col min="3830" max="3830" width="15.7109375" style="17" customWidth="1"/>
    <col min="3831" max="3832" width="12.5703125" style="17" bestFit="1" customWidth="1"/>
    <col min="3833" max="3833" width="11.28515625" style="17" customWidth="1"/>
    <col min="3834" max="4083" width="9.140625" style="17"/>
    <col min="4084" max="4084" width="3.5703125" style="17" customWidth="1"/>
    <col min="4085" max="4085" width="70.140625" style="17" customWidth="1"/>
    <col min="4086" max="4086" width="15.7109375" style="17" customWidth="1"/>
    <col min="4087" max="4088" width="12.5703125" style="17" bestFit="1" customWidth="1"/>
    <col min="4089" max="4089" width="11.28515625" style="17" customWidth="1"/>
    <col min="4090" max="4339" width="9.140625" style="17"/>
    <col min="4340" max="4340" width="3.5703125" style="17" customWidth="1"/>
    <col min="4341" max="4341" width="70.140625" style="17" customWidth="1"/>
    <col min="4342" max="4342" width="15.7109375" style="17" customWidth="1"/>
    <col min="4343" max="4344" width="12.5703125" style="17" bestFit="1" customWidth="1"/>
    <col min="4345" max="4345" width="11.28515625" style="17" customWidth="1"/>
    <col min="4346" max="4595" width="9.140625" style="17"/>
    <col min="4596" max="4596" width="3.5703125" style="17" customWidth="1"/>
    <col min="4597" max="4597" width="70.140625" style="17" customWidth="1"/>
    <col min="4598" max="4598" width="15.7109375" style="17" customWidth="1"/>
    <col min="4599" max="4600" width="12.5703125" style="17" bestFit="1" customWidth="1"/>
    <col min="4601" max="4601" width="11.28515625" style="17" customWidth="1"/>
    <col min="4602" max="4851" width="9.140625" style="17"/>
    <col min="4852" max="4852" width="3.5703125" style="17" customWidth="1"/>
    <col min="4853" max="4853" width="70.140625" style="17" customWidth="1"/>
    <col min="4854" max="4854" width="15.7109375" style="17" customWidth="1"/>
    <col min="4855" max="4856" width="12.5703125" style="17" bestFit="1" customWidth="1"/>
    <col min="4857" max="4857" width="11.28515625" style="17" customWidth="1"/>
    <col min="4858" max="5107" width="9.140625" style="17"/>
    <col min="5108" max="5108" width="3.5703125" style="17" customWidth="1"/>
    <col min="5109" max="5109" width="70.140625" style="17" customWidth="1"/>
    <col min="5110" max="5110" width="15.7109375" style="17" customWidth="1"/>
    <col min="5111" max="5112" width="12.5703125" style="17" bestFit="1" customWidth="1"/>
    <col min="5113" max="5113" width="11.28515625" style="17" customWidth="1"/>
    <col min="5114" max="5363" width="9.140625" style="17"/>
    <col min="5364" max="5364" width="3.5703125" style="17" customWidth="1"/>
    <col min="5365" max="5365" width="70.140625" style="17" customWidth="1"/>
    <col min="5366" max="5366" width="15.7109375" style="17" customWidth="1"/>
    <col min="5367" max="5368" width="12.5703125" style="17" bestFit="1" customWidth="1"/>
    <col min="5369" max="5369" width="11.28515625" style="17" customWidth="1"/>
    <col min="5370" max="5619" width="9.140625" style="17"/>
    <col min="5620" max="5620" width="3.5703125" style="17" customWidth="1"/>
    <col min="5621" max="5621" width="70.140625" style="17" customWidth="1"/>
    <col min="5622" max="5622" width="15.7109375" style="17" customWidth="1"/>
    <col min="5623" max="5624" width="12.5703125" style="17" bestFit="1" customWidth="1"/>
    <col min="5625" max="5625" width="11.28515625" style="17" customWidth="1"/>
    <col min="5626" max="5875" width="9.140625" style="17"/>
    <col min="5876" max="5876" width="3.5703125" style="17" customWidth="1"/>
    <col min="5877" max="5877" width="70.140625" style="17" customWidth="1"/>
    <col min="5878" max="5878" width="15.7109375" style="17" customWidth="1"/>
    <col min="5879" max="5880" width="12.5703125" style="17" bestFit="1" customWidth="1"/>
    <col min="5881" max="5881" width="11.28515625" style="17" customWidth="1"/>
    <col min="5882" max="6131" width="9.140625" style="17"/>
    <col min="6132" max="6132" width="3.5703125" style="17" customWidth="1"/>
    <col min="6133" max="6133" width="70.140625" style="17" customWidth="1"/>
    <col min="6134" max="6134" width="15.7109375" style="17" customWidth="1"/>
    <col min="6135" max="6136" width="12.5703125" style="17" bestFit="1" customWidth="1"/>
    <col min="6137" max="6137" width="11.28515625" style="17" customWidth="1"/>
    <col min="6138" max="6387" width="9.140625" style="17"/>
    <col min="6388" max="6388" width="3.5703125" style="17" customWidth="1"/>
    <col min="6389" max="6389" width="70.140625" style="17" customWidth="1"/>
    <col min="6390" max="6390" width="15.7109375" style="17" customWidth="1"/>
    <col min="6391" max="6392" width="12.5703125" style="17" bestFit="1" customWidth="1"/>
    <col min="6393" max="6393" width="11.28515625" style="17" customWidth="1"/>
    <col min="6394" max="6643" width="9.140625" style="17"/>
    <col min="6644" max="6644" width="3.5703125" style="17" customWidth="1"/>
    <col min="6645" max="6645" width="70.140625" style="17" customWidth="1"/>
    <col min="6646" max="6646" width="15.7109375" style="17" customWidth="1"/>
    <col min="6647" max="6648" width="12.5703125" style="17" bestFit="1" customWidth="1"/>
    <col min="6649" max="6649" width="11.28515625" style="17" customWidth="1"/>
    <col min="6650" max="6899" width="9.140625" style="17"/>
    <col min="6900" max="6900" width="3.5703125" style="17" customWidth="1"/>
    <col min="6901" max="6901" width="70.140625" style="17" customWidth="1"/>
    <col min="6902" max="6902" width="15.7109375" style="17" customWidth="1"/>
    <col min="6903" max="6904" width="12.5703125" style="17" bestFit="1" customWidth="1"/>
    <col min="6905" max="6905" width="11.28515625" style="17" customWidth="1"/>
    <col min="6906" max="7155" width="9.140625" style="17"/>
    <col min="7156" max="7156" width="3.5703125" style="17" customWidth="1"/>
    <col min="7157" max="7157" width="70.140625" style="17" customWidth="1"/>
    <col min="7158" max="7158" width="15.7109375" style="17" customWidth="1"/>
    <col min="7159" max="7160" width="12.5703125" style="17" bestFit="1" customWidth="1"/>
    <col min="7161" max="7161" width="11.28515625" style="17" customWidth="1"/>
    <col min="7162" max="7411" width="9.140625" style="17"/>
    <col min="7412" max="7412" width="3.5703125" style="17" customWidth="1"/>
    <col min="7413" max="7413" width="70.140625" style="17" customWidth="1"/>
    <col min="7414" max="7414" width="15.7109375" style="17" customWidth="1"/>
    <col min="7415" max="7416" width="12.5703125" style="17" bestFit="1" customWidth="1"/>
    <col min="7417" max="7417" width="11.28515625" style="17" customWidth="1"/>
    <col min="7418" max="7667" width="9.140625" style="17"/>
    <col min="7668" max="7668" width="3.5703125" style="17" customWidth="1"/>
    <col min="7669" max="7669" width="70.140625" style="17" customWidth="1"/>
    <col min="7670" max="7670" width="15.7109375" style="17" customWidth="1"/>
    <col min="7671" max="7672" width="12.5703125" style="17" bestFit="1" customWidth="1"/>
    <col min="7673" max="7673" width="11.28515625" style="17" customWidth="1"/>
    <col min="7674" max="7923" width="9.140625" style="17"/>
    <col min="7924" max="7924" width="3.5703125" style="17" customWidth="1"/>
    <col min="7925" max="7925" width="70.140625" style="17" customWidth="1"/>
    <col min="7926" max="7926" width="15.7109375" style="17" customWidth="1"/>
    <col min="7927" max="7928" width="12.5703125" style="17" bestFit="1" customWidth="1"/>
    <col min="7929" max="7929" width="11.28515625" style="17" customWidth="1"/>
    <col min="7930" max="8179" width="9.140625" style="17"/>
    <col min="8180" max="8180" width="3.5703125" style="17" customWidth="1"/>
    <col min="8181" max="8181" width="70.140625" style="17" customWidth="1"/>
    <col min="8182" max="8182" width="15.7109375" style="17" customWidth="1"/>
    <col min="8183" max="8184" width="12.5703125" style="17" bestFit="1" customWidth="1"/>
    <col min="8185" max="8185" width="11.28515625" style="17" customWidth="1"/>
    <col min="8186" max="8435" width="9.140625" style="17"/>
    <col min="8436" max="8436" width="3.5703125" style="17" customWidth="1"/>
    <col min="8437" max="8437" width="70.140625" style="17" customWidth="1"/>
    <col min="8438" max="8438" width="15.7109375" style="17" customWidth="1"/>
    <col min="8439" max="8440" width="12.5703125" style="17" bestFit="1" customWidth="1"/>
    <col min="8441" max="8441" width="11.28515625" style="17" customWidth="1"/>
    <col min="8442" max="8691" width="9.140625" style="17"/>
    <col min="8692" max="8692" width="3.5703125" style="17" customWidth="1"/>
    <col min="8693" max="8693" width="70.140625" style="17" customWidth="1"/>
    <col min="8694" max="8694" width="15.7109375" style="17" customWidth="1"/>
    <col min="8695" max="8696" width="12.5703125" style="17" bestFit="1" customWidth="1"/>
    <col min="8697" max="8697" width="11.28515625" style="17" customWidth="1"/>
    <col min="8698" max="8947" width="9.140625" style="17"/>
    <col min="8948" max="8948" width="3.5703125" style="17" customWidth="1"/>
    <col min="8949" max="8949" width="70.140625" style="17" customWidth="1"/>
    <col min="8950" max="8950" width="15.7109375" style="17" customWidth="1"/>
    <col min="8951" max="8952" width="12.5703125" style="17" bestFit="1" customWidth="1"/>
    <col min="8953" max="8953" width="11.28515625" style="17" customWidth="1"/>
    <col min="8954" max="9203" width="9.140625" style="17"/>
    <col min="9204" max="9204" width="3.5703125" style="17" customWidth="1"/>
    <col min="9205" max="9205" width="70.140625" style="17" customWidth="1"/>
    <col min="9206" max="9206" width="15.7109375" style="17" customWidth="1"/>
    <col min="9207" max="9208" width="12.5703125" style="17" bestFit="1" customWidth="1"/>
    <col min="9209" max="9209" width="11.28515625" style="17" customWidth="1"/>
    <col min="9210" max="9459" width="9.140625" style="17"/>
    <col min="9460" max="9460" width="3.5703125" style="17" customWidth="1"/>
    <col min="9461" max="9461" width="70.140625" style="17" customWidth="1"/>
    <col min="9462" max="9462" width="15.7109375" style="17" customWidth="1"/>
    <col min="9463" max="9464" width="12.5703125" style="17" bestFit="1" customWidth="1"/>
    <col min="9465" max="9465" width="11.28515625" style="17" customWidth="1"/>
    <col min="9466" max="9715" width="9.140625" style="17"/>
    <col min="9716" max="9716" width="3.5703125" style="17" customWidth="1"/>
    <col min="9717" max="9717" width="70.140625" style="17" customWidth="1"/>
    <col min="9718" max="9718" width="15.7109375" style="17" customWidth="1"/>
    <col min="9719" max="9720" width="12.5703125" style="17" bestFit="1" customWidth="1"/>
    <col min="9721" max="9721" width="11.28515625" style="17" customWidth="1"/>
    <col min="9722" max="9971" width="9.140625" style="17"/>
    <col min="9972" max="9972" width="3.5703125" style="17" customWidth="1"/>
    <col min="9973" max="9973" width="70.140625" style="17" customWidth="1"/>
    <col min="9974" max="9974" width="15.7109375" style="17" customWidth="1"/>
    <col min="9975" max="9976" width="12.5703125" style="17" bestFit="1" customWidth="1"/>
    <col min="9977" max="9977" width="11.28515625" style="17" customWidth="1"/>
    <col min="9978" max="10227" width="9.140625" style="17"/>
    <col min="10228" max="10228" width="3.5703125" style="17" customWidth="1"/>
    <col min="10229" max="10229" width="70.140625" style="17" customWidth="1"/>
    <col min="10230" max="10230" width="15.7109375" style="17" customWidth="1"/>
    <col min="10231" max="10232" width="12.5703125" style="17" bestFit="1" customWidth="1"/>
    <col min="10233" max="10233" width="11.28515625" style="17" customWidth="1"/>
    <col min="10234" max="10483" width="9.140625" style="17"/>
    <col min="10484" max="10484" width="3.5703125" style="17" customWidth="1"/>
    <col min="10485" max="10485" width="70.140625" style="17" customWidth="1"/>
    <col min="10486" max="10486" width="15.7109375" style="17" customWidth="1"/>
    <col min="10487" max="10488" width="12.5703125" style="17" bestFit="1" customWidth="1"/>
    <col min="10489" max="10489" width="11.28515625" style="17" customWidth="1"/>
    <col min="10490" max="10739" width="9.140625" style="17"/>
    <col min="10740" max="10740" width="3.5703125" style="17" customWidth="1"/>
    <col min="10741" max="10741" width="70.140625" style="17" customWidth="1"/>
    <col min="10742" max="10742" width="15.7109375" style="17" customWidth="1"/>
    <col min="10743" max="10744" width="12.5703125" style="17" bestFit="1" customWidth="1"/>
    <col min="10745" max="10745" width="11.28515625" style="17" customWidth="1"/>
    <col min="10746" max="10995" width="9.140625" style="17"/>
    <col min="10996" max="10996" width="3.5703125" style="17" customWidth="1"/>
    <col min="10997" max="10997" width="70.140625" style="17" customWidth="1"/>
    <col min="10998" max="10998" width="15.7109375" style="17" customWidth="1"/>
    <col min="10999" max="11000" width="12.5703125" style="17" bestFit="1" customWidth="1"/>
    <col min="11001" max="11001" width="11.28515625" style="17" customWidth="1"/>
    <col min="11002" max="11251" width="9.140625" style="17"/>
    <col min="11252" max="11252" width="3.5703125" style="17" customWidth="1"/>
    <col min="11253" max="11253" width="70.140625" style="17" customWidth="1"/>
    <col min="11254" max="11254" width="15.7109375" style="17" customWidth="1"/>
    <col min="11255" max="11256" width="12.5703125" style="17" bestFit="1" customWidth="1"/>
    <col min="11257" max="11257" width="11.28515625" style="17" customWidth="1"/>
    <col min="11258" max="11507" width="9.140625" style="17"/>
    <col min="11508" max="11508" width="3.5703125" style="17" customWidth="1"/>
    <col min="11509" max="11509" width="70.140625" style="17" customWidth="1"/>
    <col min="11510" max="11510" width="15.7109375" style="17" customWidth="1"/>
    <col min="11511" max="11512" width="12.5703125" style="17" bestFit="1" customWidth="1"/>
    <col min="11513" max="11513" width="11.28515625" style="17" customWidth="1"/>
    <col min="11514" max="11763" width="9.140625" style="17"/>
    <col min="11764" max="11764" width="3.5703125" style="17" customWidth="1"/>
    <col min="11765" max="11765" width="70.140625" style="17" customWidth="1"/>
    <col min="11766" max="11766" width="15.7109375" style="17" customWidth="1"/>
    <col min="11767" max="11768" width="12.5703125" style="17" bestFit="1" customWidth="1"/>
    <col min="11769" max="11769" width="11.28515625" style="17" customWidth="1"/>
    <col min="11770" max="12019" width="9.140625" style="17"/>
    <col min="12020" max="12020" width="3.5703125" style="17" customWidth="1"/>
    <col min="12021" max="12021" width="70.140625" style="17" customWidth="1"/>
    <col min="12022" max="12022" width="15.7109375" style="17" customWidth="1"/>
    <col min="12023" max="12024" width="12.5703125" style="17" bestFit="1" customWidth="1"/>
    <col min="12025" max="12025" width="11.28515625" style="17" customWidth="1"/>
    <col min="12026" max="12275" width="9.140625" style="17"/>
    <col min="12276" max="12276" width="3.5703125" style="17" customWidth="1"/>
    <col min="12277" max="12277" width="70.140625" style="17" customWidth="1"/>
    <col min="12278" max="12278" width="15.7109375" style="17" customWidth="1"/>
    <col min="12279" max="12280" width="12.5703125" style="17" bestFit="1" customWidth="1"/>
    <col min="12281" max="12281" width="11.28515625" style="17" customWidth="1"/>
    <col min="12282" max="12531" width="9.140625" style="17"/>
    <col min="12532" max="12532" width="3.5703125" style="17" customWidth="1"/>
    <col min="12533" max="12533" width="70.140625" style="17" customWidth="1"/>
    <col min="12534" max="12534" width="15.7109375" style="17" customWidth="1"/>
    <col min="12535" max="12536" width="12.5703125" style="17" bestFit="1" customWidth="1"/>
    <col min="12537" max="12537" width="11.28515625" style="17" customWidth="1"/>
    <col min="12538" max="12787" width="9.140625" style="17"/>
    <col min="12788" max="12788" width="3.5703125" style="17" customWidth="1"/>
    <col min="12789" max="12789" width="70.140625" style="17" customWidth="1"/>
    <col min="12790" max="12790" width="15.7109375" style="17" customWidth="1"/>
    <col min="12791" max="12792" width="12.5703125" style="17" bestFit="1" customWidth="1"/>
    <col min="12793" max="12793" width="11.28515625" style="17" customWidth="1"/>
    <col min="12794" max="13043" width="9.140625" style="17"/>
    <col min="13044" max="13044" width="3.5703125" style="17" customWidth="1"/>
    <col min="13045" max="13045" width="70.140625" style="17" customWidth="1"/>
    <col min="13046" max="13046" width="15.7109375" style="17" customWidth="1"/>
    <col min="13047" max="13048" width="12.5703125" style="17" bestFit="1" customWidth="1"/>
    <col min="13049" max="13049" width="11.28515625" style="17" customWidth="1"/>
    <col min="13050" max="13299" width="9.140625" style="17"/>
    <col min="13300" max="13300" width="3.5703125" style="17" customWidth="1"/>
    <col min="13301" max="13301" width="70.140625" style="17" customWidth="1"/>
    <col min="13302" max="13302" width="15.7109375" style="17" customWidth="1"/>
    <col min="13303" max="13304" width="12.5703125" style="17" bestFit="1" customWidth="1"/>
    <col min="13305" max="13305" width="11.28515625" style="17" customWidth="1"/>
    <col min="13306" max="13555" width="9.140625" style="17"/>
    <col min="13556" max="13556" width="3.5703125" style="17" customWidth="1"/>
    <col min="13557" max="13557" width="70.140625" style="17" customWidth="1"/>
    <col min="13558" max="13558" width="15.7109375" style="17" customWidth="1"/>
    <col min="13559" max="13560" width="12.5703125" style="17" bestFit="1" customWidth="1"/>
    <col min="13561" max="13561" width="11.28515625" style="17" customWidth="1"/>
    <col min="13562" max="13811" width="9.140625" style="17"/>
    <col min="13812" max="13812" width="3.5703125" style="17" customWidth="1"/>
    <col min="13813" max="13813" width="70.140625" style="17" customWidth="1"/>
    <col min="13814" max="13814" width="15.7109375" style="17" customWidth="1"/>
    <col min="13815" max="13816" width="12.5703125" style="17" bestFit="1" customWidth="1"/>
    <col min="13817" max="13817" width="11.28515625" style="17" customWidth="1"/>
    <col min="13818" max="14067" width="9.140625" style="17"/>
    <col min="14068" max="14068" width="3.5703125" style="17" customWidth="1"/>
    <col min="14069" max="14069" width="70.140625" style="17" customWidth="1"/>
    <col min="14070" max="14070" width="15.7109375" style="17" customWidth="1"/>
    <col min="14071" max="14072" width="12.5703125" style="17" bestFit="1" customWidth="1"/>
    <col min="14073" max="14073" width="11.28515625" style="17" customWidth="1"/>
    <col min="14074" max="14323" width="9.140625" style="17"/>
    <col min="14324" max="14324" width="3.5703125" style="17" customWidth="1"/>
    <col min="14325" max="14325" width="70.140625" style="17" customWidth="1"/>
    <col min="14326" max="14326" width="15.7109375" style="17" customWidth="1"/>
    <col min="14327" max="14328" width="12.5703125" style="17" bestFit="1" customWidth="1"/>
    <col min="14329" max="14329" width="11.28515625" style="17" customWidth="1"/>
    <col min="14330" max="14579" width="9.140625" style="17"/>
    <col min="14580" max="14580" width="3.5703125" style="17" customWidth="1"/>
    <col min="14581" max="14581" width="70.140625" style="17" customWidth="1"/>
    <col min="14582" max="14582" width="15.7109375" style="17" customWidth="1"/>
    <col min="14583" max="14584" width="12.5703125" style="17" bestFit="1" customWidth="1"/>
    <col min="14585" max="14585" width="11.28515625" style="17" customWidth="1"/>
    <col min="14586" max="14835" width="9.140625" style="17"/>
    <col min="14836" max="14836" width="3.5703125" style="17" customWidth="1"/>
    <col min="14837" max="14837" width="70.140625" style="17" customWidth="1"/>
    <col min="14838" max="14838" width="15.7109375" style="17" customWidth="1"/>
    <col min="14839" max="14840" width="12.5703125" style="17" bestFit="1" customWidth="1"/>
    <col min="14841" max="14841" width="11.28515625" style="17" customWidth="1"/>
    <col min="14842" max="15091" width="9.140625" style="17"/>
    <col min="15092" max="15092" width="3.5703125" style="17" customWidth="1"/>
    <col min="15093" max="15093" width="70.140625" style="17" customWidth="1"/>
    <col min="15094" max="15094" width="15.7109375" style="17" customWidth="1"/>
    <col min="15095" max="15096" width="12.5703125" style="17" bestFit="1" customWidth="1"/>
    <col min="15097" max="15097" width="11.28515625" style="17" customWidth="1"/>
    <col min="15098" max="15347" width="9.140625" style="17"/>
    <col min="15348" max="15348" width="3.5703125" style="17" customWidth="1"/>
    <col min="15349" max="15349" width="70.140625" style="17" customWidth="1"/>
    <col min="15350" max="15350" width="15.7109375" style="17" customWidth="1"/>
    <col min="15351" max="15352" width="12.5703125" style="17" bestFit="1" customWidth="1"/>
    <col min="15353" max="15353" width="11.28515625" style="17" customWidth="1"/>
    <col min="15354" max="15603" width="9.140625" style="17"/>
    <col min="15604" max="15604" width="3.5703125" style="17" customWidth="1"/>
    <col min="15605" max="15605" width="70.140625" style="17" customWidth="1"/>
    <col min="15606" max="15606" width="15.7109375" style="17" customWidth="1"/>
    <col min="15607" max="15608" width="12.5703125" style="17" bestFit="1" customWidth="1"/>
    <col min="15609" max="15609" width="11.28515625" style="17" customWidth="1"/>
    <col min="15610" max="15859" width="9.140625" style="17"/>
    <col min="15860" max="15860" width="3.5703125" style="17" customWidth="1"/>
    <col min="15861" max="15861" width="70.140625" style="17" customWidth="1"/>
    <col min="15862" max="15862" width="15.7109375" style="17" customWidth="1"/>
    <col min="15863" max="15864" width="12.5703125" style="17" bestFit="1" customWidth="1"/>
    <col min="15865" max="15865" width="11.28515625" style="17" customWidth="1"/>
    <col min="15866" max="16115" width="9.140625" style="17"/>
    <col min="16116" max="16116" width="3.5703125" style="17" customWidth="1"/>
    <col min="16117" max="16117" width="70.140625" style="17" customWidth="1"/>
    <col min="16118" max="16118" width="15.7109375" style="17" customWidth="1"/>
    <col min="16119" max="16120" width="12.5703125" style="17" bestFit="1" customWidth="1"/>
    <col min="16121" max="16121" width="11.28515625" style="17" customWidth="1"/>
    <col min="16122" max="16384" width="9.140625" style="17"/>
  </cols>
  <sheetData>
    <row r="1" spans="1:30" s="2" customFormat="1" ht="23.25" customHeight="1" x14ac:dyDescent="0.2">
      <c r="B1" s="3" t="s">
        <v>136</v>
      </c>
      <c r="F1" s="4"/>
      <c r="J1" s="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s="6" customFormat="1" ht="15" customHeight="1" x14ac:dyDescent="0.2">
      <c r="B2" s="404" t="s">
        <v>137</v>
      </c>
      <c r="C2" s="405"/>
      <c r="D2" s="404" t="s">
        <v>138</v>
      </c>
      <c r="E2" s="405"/>
      <c r="F2" s="404" t="s">
        <v>139</v>
      </c>
      <c r="G2" s="405"/>
      <c r="H2" s="7" t="s">
        <v>140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s="2" customFormat="1" ht="12.75" x14ac:dyDescent="0.2">
      <c r="B3" s="9" t="s">
        <v>141</v>
      </c>
      <c r="C3" s="10" t="s">
        <v>142</v>
      </c>
      <c r="D3" s="9" t="s">
        <v>141</v>
      </c>
      <c r="E3" s="10" t="s">
        <v>142</v>
      </c>
      <c r="F3" s="9" t="s">
        <v>141</v>
      </c>
      <c r="G3" s="10" t="s">
        <v>142</v>
      </c>
      <c r="H3" s="1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2" customFormat="1" ht="12.75" x14ac:dyDescent="0.2">
      <c r="B4" s="11">
        <v>51</v>
      </c>
      <c r="C4" s="12">
        <v>6860.5</v>
      </c>
      <c r="D4" s="11">
        <v>2</v>
      </c>
      <c r="E4" s="12">
        <v>302.3</v>
      </c>
      <c r="F4" s="11">
        <v>53</v>
      </c>
      <c r="G4" s="12">
        <v>1583.8</v>
      </c>
      <c r="H4" s="12">
        <f>G4+E4+C4</f>
        <v>8746.6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s="2" customFormat="1" ht="12.75" x14ac:dyDescent="0.2">
      <c r="A5" s="13"/>
      <c r="B5" s="13"/>
      <c r="C5" s="13"/>
      <c r="D5" s="13"/>
      <c r="E5" s="4"/>
      <c r="I5" s="14"/>
      <c r="J5" s="1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7" spans="1:30" ht="16.5" customHeight="1" x14ac:dyDescent="0.25">
      <c r="A7" s="401"/>
      <c r="B7" s="402"/>
      <c r="C7" s="406"/>
      <c r="D7" s="401" t="s">
        <v>143</v>
      </c>
      <c r="E7" s="402"/>
      <c r="F7" s="402"/>
      <c r="G7" s="406"/>
      <c r="H7" s="401" t="s">
        <v>144</v>
      </c>
      <c r="I7" s="402"/>
      <c r="J7" s="402"/>
      <c r="K7" s="402"/>
      <c r="L7" s="16"/>
    </row>
    <row r="8" spans="1:30" s="20" customFormat="1" ht="51.75" customHeight="1" x14ac:dyDescent="0.25">
      <c r="A8" s="18" t="s">
        <v>145</v>
      </c>
      <c r="B8" s="18" t="s">
        <v>146</v>
      </c>
      <c r="C8" s="18" t="s">
        <v>147</v>
      </c>
      <c r="D8" s="18" t="s">
        <v>137</v>
      </c>
      <c r="E8" s="18" t="s">
        <v>138</v>
      </c>
      <c r="F8" s="18" t="s">
        <v>139</v>
      </c>
      <c r="G8" s="18" t="s">
        <v>148</v>
      </c>
      <c r="H8" s="18" t="s">
        <v>137</v>
      </c>
      <c r="I8" s="18" t="s">
        <v>138</v>
      </c>
      <c r="J8" s="18" t="s">
        <v>139</v>
      </c>
      <c r="K8" s="18" t="s">
        <v>149</v>
      </c>
      <c r="L8" s="19" t="s">
        <v>150</v>
      </c>
    </row>
    <row r="9" spans="1:30" s="27" customFormat="1" ht="27.95" customHeight="1" x14ac:dyDescent="0.25">
      <c r="A9" s="21">
        <v>1</v>
      </c>
      <c r="B9" s="22" t="s">
        <v>151</v>
      </c>
      <c r="C9" s="21" t="s">
        <v>152</v>
      </c>
      <c r="D9" s="23">
        <f t="shared" ref="D9:K9" si="0">SUM(D10:D15)</f>
        <v>9.2900000000000009</v>
      </c>
      <c r="E9" s="23">
        <f t="shared" si="0"/>
        <v>10.629999999999999</v>
      </c>
      <c r="F9" s="24">
        <f t="shared" si="0"/>
        <v>345.11</v>
      </c>
      <c r="G9" s="25">
        <f t="shared" ref="G9" si="1">SUM(G10:G15)</f>
        <v>85238.323999999993</v>
      </c>
      <c r="H9" s="23">
        <f t="shared" si="0"/>
        <v>9.2900000000000009</v>
      </c>
      <c r="I9" s="23">
        <f t="shared" si="0"/>
        <v>10.629999999999999</v>
      </c>
      <c r="J9" s="23">
        <f t="shared" si="0"/>
        <v>345.11</v>
      </c>
      <c r="K9" s="25">
        <f t="shared" si="0"/>
        <v>85238.323999999993</v>
      </c>
      <c r="L9" s="26">
        <f t="shared" ref="L9:L32" si="2">G9*4+K9*8</f>
        <v>1022859.8879999999</v>
      </c>
    </row>
    <row r="10" spans="1:30" ht="27.95" customHeight="1" x14ac:dyDescent="0.25">
      <c r="A10" s="28" t="s">
        <v>153</v>
      </c>
      <c r="B10" s="29" t="s">
        <v>305</v>
      </c>
      <c r="C10" s="30" t="s">
        <v>154</v>
      </c>
      <c r="D10" s="31">
        <v>2.86</v>
      </c>
      <c r="E10" s="31">
        <v>2.86</v>
      </c>
      <c r="F10" s="32">
        <v>85.41</v>
      </c>
      <c r="G10" s="33">
        <f>$C$4*D10+$E$4*E10+$F$4*F10</f>
        <v>25012.338</v>
      </c>
      <c r="H10" s="34">
        <v>2.86</v>
      </c>
      <c r="I10" s="34">
        <v>2.86</v>
      </c>
      <c r="J10" s="34">
        <v>85.41</v>
      </c>
      <c r="K10" s="33">
        <f>$C$4*H10+$E$4*I10+$F$4*J10</f>
        <v>25012.338</v>
      </c>
      <c r="L10" s="35">
        <f t="shared" si="2"/>
        <v>300148.05599999998</v>
      </c>
    </row>
    <row r="11" spans="1:30" ht="27.95" customHeight="1" x14ac:dyDescent="0.25">
      <c r="A11" s="28" t="s">
        <v>155</v>
      </c>
      <c r="B11" s="29" t="s">
        <v>304</v>
      </c>
      <c r="C11" s="36" t="s">
        <v>154</v>
      </c>
      <c r="D11" s="37">
        <v>1.84</v>
      </c>
      <c r="E11" s="37">
        <v>3.76</v>
      </c>
      <c r="F11" s="38">
        <v>79.22</v>
      </c>
      <c r="G11" s="33">
        <f t="shared" ref="G11:G15" si="3">$C$4*D11+$E$4*E11+$F$4*F11</f>
        <v>17958.627999999997</v>
      </c>
      <c r="H11" s="39">
        <v>1.84</v>
      </c>
      <c r="I11" s="39">
        <v>3.76</v>
      </c>
      <c r="J11" s="39">
        <v>79.22</v>
      </c>
      <c r="K11" s="33">
        <f t="shared" ref="K11:K28" si="4">$C$4*H11+$E$4*I11+$F$4*J11</f>
        <v>17958.627999999997</v>
      </c>
      <c r="L11" s="35">
        <f t="shared" si="2"/>
        <v>215503.53599999996</v>
      </c>
    </row>
    <row r="12" spans="1:30" ht="27.95" customHeight="1" x14ac:dyDescent="0.25">
      <c r="A12" s="28" t="s">
        <v>156</v>
      </c>
      <c r="B12" s="40" t="s">
        <v>222</v>
      </c>
      <c r="C12" s="30" t="s">
        <v>154</v>
      </c>
      <c r="D12" s="31">
        <v>2.86</v>
      </c>
      <c r="E12" s="31">
        <v>2.86</v>
      </c>
      <c r="F12" s="32">
        <v>85.41</v>
      </c>
      <c r="G12" s="33">
        <f t="shared" si="3"/>
        <v>25012.338</v>
      </c>
      <c r="H12" s="34">
        <v>2.86</v>
      </c>
      <c r="I12" s="34">
        <v>2.86</v>
      </c>
      <c r="J12" s="34">
        <v>85.41</v>
      </c>
      <c r="K12" s="33">
        <f t="shared" si="4"/>
        <v>25012.338</v>
      </c>
      <c r="L12" s="35">
        <f t="shared" si="2"/>
        <v>300148.05599999998</v>
      </c>
    </row>
    <row r="13" spans="1:30" ht="27.95" customHeight="1" x14ac:dyDescent="0.25">
      <c r="A13" s="28" t="s">
        <v>157</v>
      </c>
      <c r="B13" s="40" t="s">
        <v>30</v>
      </c>
      <c r="C13" s="30" t="s">
        <v>154</v>
      </c>
      <c r="D13" s="31">
        <v>0.57999999999999996</v>
      </c>
      <c r="E13" s="31">
        <v>0</v>
      </c>
      <c r="F13" s="41"/>
      <c r="G13" s="33">
        <f t="shared" si="3"/>
        <v>3979.0899999999997</v>
      </c>
      <c r="H13" s="34">
        <v>0.57999999999999996</v>
      </c>
      <c r="I13" s="34">
        <v>0</v>
      </c>
      <c r="J13" s="34">
        <v>0</v>
      </c>
      <c r="K13" s="33">
        <f t="shared" si="4"/>
        <v>3979.0899999999997</v>
      </c>
      <c r="L13" s="35">
        <f t="shared" si="2"/>
        <v>47749.079999999994</v>
      </c>
    </row>
    <row r="14" spans="1:30" ht="27.95" customHeight="1" x14ac:dyDescent="0.25">
      <c r="A14" s="28" t="s">
        <v>158</v>
      </c>
      <c r="B14" s="40" t="s">
        <v>40</v>
      </c>
      <c r="C14" s="30" t="s">
        <v>154</v>
      </c>
      <c r="D14" s="31">
        <v>0</v>
      </c>
      <c r="E14" s="31">
        <v>0</v>
      </c>
      <c r="F14" s="32">
        <v>62.89</v>
      </c>
      <c r="G14" s="33">
        <f t="shared" si="3"/>
        <v>3333.17</v>
      </c>
      <c r="H14" s="34">
        <v>0</v>
      </c>
      <c r="I14" s="34">
        <v>0</v>
      </c>
      <c r="J14" s="34">
        <v>62.89</v>
      </c>
      <c r="K14" s="33">
        <f t="shared" si="4"/>
        <v>3333.17</v>
      </c>
      <c r="L14" s="35">
        <f t="shared" si="2"/>
        <v>39998.04</v>
      </c>
    </row>
    <row r="15" spans="1:30" ht="27.95" customHeight="1" x14ac:dyDescent="0.25">
      <c r="A15" s="28" t="s">
        <v>159</v>
      </c>
      <c r="B15" s="40" t="s">
        <v>28</v>
      </c>
      <c r="C15" s="30" t="s">
        <v>154</v>
      </c>
      <c r="D15" s="31">
        <v>1.1499999999999999</v>
      </c>
      <c r="E15" s="31">
        <v>1.1499999999999999</v>
      </c>
      <c r="F15" s="32">
        <v>32.18</v>
      </c>
      <c r="G15" s="33">
        <f t="shared" si="3"/>
        <v>9942.7599999999984</v>
      </c>
      <c r="H15" s="34">
        <v>1.1499999999999999</v>
      </c>
      <c r="I15" s="34">
        <v>1.1499999999999999</v>
      </c>
      <c r="J15" s="34">
        <v>32.18</v>
      </c>
      <c r="K15" s="33">
        <f t="shared" si="4"/>
        <v>9942.7599999999984</v>
      </c>
      <c r="L15" s="35">
        <f t="shared" si="2"/>
        <v>119313.11999999998</v>
      </c>
    </row>
    <row r="16" spans="1:30" s="27" customFormat="1" ht="27.95" customHeight="1" x14ac:dyDescent="0.25">
      <c r="A16" s="42" t="s">
        <v>160</v>
      </c>
      <c r="B16" s="22" t="s">
        <v>39</v>
      </c>
      <c r="C16" s="21" t="s">
        <v>152</v>
      </c>
      <c r="D16" s="23">
        <f t="shared" ref="D16:K16" si="5">SUM(D17:D19)</f>
        <v>16.28</v>
      </c>
      <c r="E16" s="23">
        <f t="shared" si="5"/>
        <v>16.28</v>
      </c>
      <c r="F16" s="24">
        <f t="shared" si="5"/>
        <v>486.76</v>
      </c>
      <c r="G16" s="25">
        <f t="shared" ref="G16" si="6">SUM(G17:G19)</f>
        <v>142408.66400000002</v>
      </c>
      <c r="H16" s="23">
        <f t="shared" si="5"/>
        <v>17.239999999999998</v>
      </c>
      <c r="I16" s="23">
        <f t="shared" si="5"/>
        <v>17.239999999999998</v>
      </c>
      <c r="J16" s="23">
        <f t="shared" si="5"/>
        <v>515.24</v>
      </c>
      <c r="K16" s="25">
        <f t="shared" si="5"/>
        <v>150794.39200000002</v>
      </c>
      <c r="L16" s="26">
        <f t="shared" si="2"/>
        <v>1775989.7920000004</v>
      </c>
    </row>
    <row r="17" spans="1:12" ht="27.95" customHeight="1" x14ac:dyDescent="0.25">
      <c r="A17" s="43" t="s">
        <v>161</v>
      </c>
      <c r="B17" s="44" t="s">
        <v>162</v>
      </c>
      <c r="C17" s="30" t="s">
        <v>163</v>
      </c>
      <c r="D17" s="31">
        <v>7.7</v>
      </c>
      <c r="E17" s="31">
        <v>7.7</v>
      </c>
      <c r="F17" s="32">
        <v>230.2</v>
      </c>
      <c r="G17" s="33">
        <f>$C$4*D17+$E$4*E17+$F$4*F17</f>
        <v>67354.16</v>
      </c>
      <c r="H17" s="34">
        <v>8.18</v>
      </c>
      <c r="I17" s="34">
        <v>8.18</v>
      </c>
      <c r="J17" s="34">
        <v>244.44</v>
      </c>
      <c r="K17" s="33">
        <f t="shared" si="4"/>
        <v>71547.024000000005</v>
      </c>
      <c r="L17" s="35">
        <f t="shared" si="2"/>
        <v>841792.83200000005</v>
      </c>
    </row>
    <row r="18" spans="1:12" ht="27.95" customHeight="1" x14ac:dyDescent="0.25">
      <c r="A18" s="43" t="s">
        <v>164</v>
      </c>
      <c r="B18" s="44" t="s">
        <v>165</v>
      </c>
      <c r="C18" s="30" t="s">
        <v>154</v>
      </c>
      <c r="D18" s="31">
        <v>7.7</v>
      </c>
      <c r="E18" s="31">
        <v>7.7</v>
      </c>
      <c r="F18" s="32">
        <v>230.2</v>
      </c>
      <c r="G18" s="33">
        <f t="shared" ref="G18:G19" si="7">$C$4*D18+$E$4*E18+$F$4*F18</f>
        <v>67354.16</v>
      </c>
      <c r="H18" s="34">
        <v>8.18</v>
      </c>
      <c r="I18" s="34">
        <v>8.18</v>
      </c>
      <c r="J18" s="34">
        <v>244.44</v>
      </c>
      <c r="K18" s="33">
        <f t="shared" si="4"/>
        <v>71547.024000000005</v>
      </c>
      <c r="L18" s="35">
        <f t="shared" si="2"/>
        <v>841792.83200000005</v>
      </c>
    </row>
    <row r="19" spans="1:12" ht="27.95" customHeight="1" x14ac:dyDescent="0.25">
      <c r="A19" s="43" t="s">
        <v>166</v>
      </c>
      <c r="B19" s="44" t="s">
        <v>167</v>
      </c>
      <c r="C19" s="30" t="s">
        <v>154</v>
      </c>
      <c r="D19" s="31">
        <v>0.88</v>
      </c>
      <c r="E19" s="31">
        <v>0.88</v>
      </c>
      <c r="F19" s="32">
        <v>26.36</v>
      </c>
      <c r="G19" s="33">
        <f t="shared" si="7"/>
        <v>7700.3440000000001</v>
      </c>
      <c r="H19" s="34">
        <v>0.88</v>
      </c>
      <c r="I19" s="34">
        <v>0.88</v>
      </c>
      <c r="J19" s="34">
        <v>26.36</v>
      </c>
      <c r="K19" s="33">
        <f t="shared" si="4"/>
        <v>7700.3440000000001</v>
      </c>
      <c r="L19" s="35">
        <f t="shared" si="2"/>
        <v>92404.127999999997</v>
      </c>
    </row>
    <row r="20" spans="1:12" s="27" customFormat="1" ht="27.95" customHeight="1" x14ac:dyDescent="0.25">
      <c r="A20" s="42" t="s">
        <v>168</v>
      </c>
      <c r="B20" s="22" t="s">
        <v>169</v>
      </c>
      <c r="C20" s="21" t="s">
        <v>154</v>
      </c>
      <c r="D20" s="23">
        <v>3.21</v>
      </c>
      <c r="E20" s="23">
        <v>0</v>
      </c>
      <c r="F20" s="45">
        <v>288.27</v>
      </c>
      <c r="G20" s="25">
        <f>$C$4*D20+$E$4*E20+$F$4*F20</f>
        <v>37300.514999999999</v>
      </c>
      <c r="H20" s="23">
        <v>3.31</v>
      </c>
      <c r="I20" s="23">
        <v>0</v>
      </c>
      <c r="J20" s="23">
        <v>302.42</v>
      </c>
      <c r="K20" s="25">
        <f t="shared" si="4"/>
        <v>38736.514999999999</v>
      </c>
      <c r="L20" s="26">
        <f t="shared" si="2"/>
        <v>459094.18</v>
      </c>
    </row>
    <row r="21" spans="1:12" s="27" customFormat="1" ht="27.95" customHeight="1" x14ac:dyDescent="0.25">
      <c r="A21" s="42" t="s">
        <v>170</v>
      </c>
      <c r="B21" s="46" t="s">
        <v>171</v>
      </c>
      <c r="C21" s="21" t="s">
        <v>154</v>
      </c>
      <c r="D21" s="23">
        <v>1.23</v>
      </c>
      <c r="E21" s="23">
        <v>1.23</v>
      </c>
      <c r="F21" s="45">
        <v>184.91</v>
      </c>
      <c r="G21" s="25">
        <f t="shared" ref="G21:G22" si="8">$C$4*D21+$E$4*E21+$F$4*F21</f>
        <v>18610.473999999998</v>
      </c>
      <c r="H21" s="23">
        <v>1.42</v>
      </c>
      <c r="I21" s="23">
        <v>1.42</v>
      </c>
      <c r="J21" s="23">
        <v>190.6</v>
      </c>
      <c r="K21" s="25">
        <f t="shared" si="4"/>
        <v>20272.975999999999</v>
      </c>
      <c r="L21" s="26">
        <f t="shared" si="2"/>
        <v>236625.70399999997</v>
      </c>
    </row>
    <row r="22" spans="1:12" s="27" customFormat="1" ht="27.95" customHeight="1" x14ac:dyDescent="0.25">
      <c r="A22" s="42" t="s">
        <v>172</v>
      </c>
      <c r="B22" s="47" t="s">
        <v>173</v>
      </c>
      <c r="C22" s="21" t="s">
        <v>154</v>
      </c>
      <c r="D22" s="23">
        <v>2.2400000000000002</v>
      </c>
      <c r="E22" s="23">
        <v>2.2400000000000002</v>
      </c>
      <c r="F22" s="45">
        <v>66.953732965348479</v>
      </c>
      <c r="G22" s="25">
        <f t="shared" si="8"/>
        <v>19593.219847163473</v>
      </c>
      <c r="H22" s="23">
        <v>2.2999999999999998</v>
      </c>
      <c r="I22" s="23">
        <v>2.2999999999999998</v>
      </c>
      <c r="J22" s="23">
        <v>68.78</v>
      </c>
      <c r="K22" s="25">
        <f t="shared" si="4"/>
        <v>20119.78</v>
      </c>
      <c r="L22" s="26">
        <f t="shared" si="2"/>
        <v>239331.1193886539</v>
      </c>
    </row>
    <row r="23" spans="1:12" s="27" customFormat="1" ht="27.95" customHeight="1" x14ac:dyDescent="0.25">
      <c r="A23" s="21">
        <v>6</v>
      </c>
      <c r="B23" s="22" t="s">
        <v>174</v>
      </c>
      <c r="C23" s="21" t="s">
        <v>154</v>
      </c>
      <c r="D23" s="23">
        <f t="shared" ref="D23:J23" si="9">SUM(D24:D28)</f>
        <v>7.19</v>
      </c>
      <c r="E23" s="23">
        <f t="shared" si="9"/>
        <v>2.4500000000000002</v>
      </c>
      <c r="F23" s="24">
        <f t="shared" si="9"/>
        <v>371.29</v>
      </c>
      <c r="G23" s="25">
        <f t="shared" ref="G23" si="10">SUM(G24:G28)</f>
        <v>69746</v>
      </c>
      <c r="H23" s="23">
        <f t="shared" si="9"/>
        <v>9.0400000000000009</v>
      </c>
      <c r="I23" s="23">
        <f t="shared" si="9"/>
        <v>4.29</v>
      </c>
      <c r="J23" s="23">
        <f t="shared" si="9"/>
        <v>497.44509433962259</v>
      </c>
      <c r="K23" s="25">
        <f>SUM(K24:K28)</f>
        <v>89680.377000000008</v>
      </c>
      <c r="L23" s="26">
        <f t="shared" si="2"/>
        <v>996427.01600000006</v>
      </c>
    </row>
    <row r="24" spans="1:12" ht="27.95" customHeight="1" x14ac:dyDescent="0.25">
      <c r="A24" s="43" t="s">
        <v>175</v>
      </c>
      <c r="B24" s="40" t="s">
        <v>176</v>
      </c>
      <c r="C24" s="30" t="s">
        <v>154</v>
      </c>
      <c r="D24" s="31">
        <v>4.74</v>
      </c>
      <c r="E24" s="31">
        <v>0</v>
      </c>
      <c r="F24" s="41">
        <v>0</v>
      </c>
      <c r="G24" s="33">
        <f t="shared" ref="G24:G32" si="11">$C$4*D24+$E$4*E24+$F$4*F24</f>
        <v>32518.77</v>
      </c>
      <c r="H24" s="34">
        <v>5.32</v>
      </c>
      <c r="I24" s="34">
        <v>0.56999999999999995</v>
      </c>
      <c r="J24" s="34">
        <v>17.079999999999998</v>
      </c>
      <c r="K24" s="33">
        <f t="shared" si="4"/>
        <v>37575.411</v>
      </c>
      <c r="L24" s="35">
        <f t="shared" si="2"/>
        <v>430678.36800000002</v>
      </c>
    </row>
    <row r="25" spans="1:12" ht="27.95" customHeight="1" x14ac:dyDescent="0.25">
      <c r="A25" s="43" t="s">
        <v>177</v>
      </c>
      <c r="B25" s="40" t="s">
        <v>178</v>
      </c>
      <c r="C25" s="30" t="s">
        <v>154</v>
      </c>
      <c r="D25" s="31">
        <v>1.82</v>
      </c>
      <c r="E25" s="31">
        <v>1.82</v>
      </c>
      <c r="F25" s="41">
        <v>0</v>
      </c>
      <c r="G25" s="33">
        <f t="shared" si="11"/>
        <v>13036.296</v>
      </c>
      <c r="H25" s="34">
        <v>2.0699999999999998</v>
      </c>
      <c r="I25" s="34">
        <v>2.0699999999999998</v>
      </c>
      <c r="J25" s="34">
        <v>0</v>
      </c>
      <c r="K25" s="33">
        <f t="shared" si="4"/>
        <v>14826.995999999999</v>
      </c>
      <c r="L25" s="35">
        <f t="shared" si="2"/>
        <v>170761.152</v>
      </c>
    </row>
    <row r="26" spans="1:12" ht="27.95" customHeight="1" x14ac:dyDescent="0.25">
      <c r="A26" s="43" t="s">
        <v>179</v>
      </c>
      <c r="B26" s="40" t="s">
        <v>180</v>
      </c>
      <c r="C26" s="30" t="s">
        <v>154</v>
      </c>
      <c r="D26" s="31">
        <v>0</v>
      </c>
      <c r="E26" s="31">
        <v>0</v>
      </c>
      <c r="F26" s="32">
        <v>368.49</v>
      </c>
      <c r="G26" s="33">
        <f t="shared" si="11"/>
        <v>19529.97</v>
      </c>
      <c r="H26" s="34">
        <v>0</v>
      </c>
      <c r="I26" s="34">
        <v>0</v>
      </c>
      <c r="J26" s="34">
        <v>476.41509433962261</v>
      </c>
      <c r="K26" s="33">
        <f t="shared" si="4"/>
        <v>25250</v>
      </c>
      <c r="L26" s="35">
        <f t="shared" si="2"/>
        <v>280119.88</v>
      </c>
    </row>
    <row r="27" spans="1:12" ht="27.95" customHeight="1" x14ac:dyDescent="0.25">
      <c r="A27" s="43" t="s">
        <v>181</v>
      </c>
      <c r="B27" s="40" t="s">
        <v>182</v>
      </c>
      <c r="C27" s="30" t="s">
        <v>154</v>
      </c>
      <c r="D27" s="31">
        <v>0.54</v>
      </c>
      <c r="E27" s="31">
        <v>0.54</v>
      </c>
      <c r="F27" s="41">
        <v>0</v>
      </c>
      <c r="G27" s="33">
        <f t="shared" si="11"/>
        <v>3867.9120000000003</v>
      </c>
      <c r="H27" s="34">
        <v>1.52</v>
      </c>
      <c r="I27" s="34">
        <v>1.52</v>
      </c>
      <c r="J27" s="34">
        <v>0</v>
      </c>
      <c r="K27" s="33">
        <f t="shared" si="4"/>
        <v>10887.456</v>
      </c>
      <c r="L27" s="35">
        <f t="shared" si="2"/>
        <v>102571.296</v>
      </c>
    </row>
    <row r="28" spans="1:12" ht="27.95" customHeight="1" x14ac:dyDescent="0.25">
      <c r="A28" s="43" t="s">
        <v>183</v>
      </c>
      <c r="B28" s="44" t="s">
        <v>184</v>
      </c>
      <c r="C28" s="30" t="s">
        <v>154</v>
      </c>
      <c r="D28" s="31">
        <v>0.09</v>
      </c>
      <c r="E28" s="31">
        <v>0.09</v>
      </c>
      <c r="F28" s="32">
        <v>2.8</v>
      </c>
      <c r="G28" s="33">
        <f t="shared" si="11"/>
        <v>793.05199999999991</v>
      </c>
      <c r="H28" s="34">
        <v>0.13</v>
      </c>
      <c r="I28" s="34">
        <v>0.13</v>
      </c>
      <c r="J28" s="34">
        <v>3.95</v>
      </c>
      <c r="K28" s="33">
        <f t="shared" si="4"/>
        <v>1140.5140000000001</v>
      </c>
      <c r="L28" s="35">
        <f t="shared" si="2"/>
        <v>12296.32</v>
      </c>
    </row>
    <row r="29" spans="1:12" s="27" customFormat="1" ht="27.95" customHeight="1" x14ac:dyDescent="0.25">
      <c r="A29" s="42" t="s">
        <v>185</v>
      </c>
      <c r="B29" s="22" t="s">
        <v>42</v>
      </c>
      <c r="C29" s="21" t="s">
        <v>154</v>
      </c>
      <c r="D29" s="23">
        <v>17.149999999999999</v>
      </c>
      <c r="E29" s="23">
        <v>17.149999999999999</v>
      </c>
      <c r="F29" s="45">
        <v>512.48</v>
      </c>
      <c r="G29" s="25">
        <f t="shared" si="11"/>
        <v>150003.46</v>
      </c>
      <c r="H29" s="23">
        <v>17.149999999999999</v>
      </c>
      <c r="I29" s="23">
        <v>17.149999999999999</v>
      </c>
      <c r="J29" s="23">
        <v>512.48</v>
      </c>
      <c r="K29" s="25">
        <f>$C$4*H29+$E$4*I29+$F$4*J29</f>
        <v>150003.46</v>
      </c>
      <c r="L29" s="26">
        <f t="shared" si="2"/>
        <v>1800041.52</v>
      </c>
    </row>
    <row r="30" spans="1:12" s="27" customFormat="1" ht="27.95" customHeight="1" x14ac:dyDescent="0.25">
      <c r="A30" s="42" t="s">
        <v>186</v>
      </c>
      <c r="B30" s="22" t="s">
        <v>187</v>
      </c>
      <c r="C30" s="21" t="s">
        <v>154</v>
      </c>
      <c r="D30" s="23">
        <v>5.08</v>
      </c>
      <c r="E30" s="23">
        <v>5.08</v>
      </c>
      <c r="F30" s="45">
        <v>151.81</v>
      </c>
      <c r="G30" s="25">
        <f t="shared" si="11"/>
        <v>44432.954000000005</v>
      </c>
      <c r="H30" s="23">
        <v>5.08</v>
      </c>
      <c r="I30" s="23">
        <v>5.08</v>
      </c>
      <c r="J30" s="23">
        <v>151.81</v>
      </c>
      <c r="K30" s="25">
        <f>$C$4*H30+$E$4*I30+$F$4*J30</f>
        <v>44432.954000000005</v>
      </c>
      <c r="L30" s="26">
        <f t="shared" si="2"/>
        <v>533195.44800000009</v>
      </c>
    </row>
    <row r="31" spans="1:12" s="27" customFormat="1" ht="27.95" customHeight="1" x14ac:dyDescent="0.25">
      <c r="A31" s="42" t="s">
        <v>188</v>
      </c>
      <c r="B31" s="22" t="s">
        <v>189</v>
      </c>
      <c r="C31" s="21" t="s">
        <v>154</v>
      </c>
      <c r="D31" s="23">
        <v>14.89</v>
      </c>
      <c r="E31" s="23">
        <v>14.89</v>
      </c>
      <c r="F31" s="45">
        <v>444.83</v>
      </c>
      <c r="G31" s="25">
        <f t="shared" si="11"/>
        <v>130230.08199999999</v>
      </c>
      <c r="H31" s="23">
        <v>19.850000000000001</v>
      </c>
      <c r="I31" s="23">
        <v>19.850000000000001</v>
      </c>
      <c r="J31" s="23">
        <v>593.11</v>
      </c>
      <c r="K31" s="25">
        <f>$C$4*H31+$E$4*I31+$F$4*J31</f>
        <v>173616.41000000003</v>
      </c>
      <c r="L31" s="26">
        <f t="shared" si="2"/>
        <v>1909851.6080000002</v>
      </c>
    </row>
    <row r="32" spans="1:12" s="27" customFormat="1" ht="82.5" customHeight="1" x14ac:dyDescent="0.25">
      <c r="A32" s="42" t="s">
        <v>190</v>
      </c>
      <c r="B32" s="22" t="s">
        <v>191</v>
      </c>
      <c r="C32" s="21" t="s">
        <v>154</v>
      </c>
      <c r="D32" s="23">
        <v>24.74</v>
      </c>
      <c r="E32" s="23">
        <v>24.14</v>
      </c>
      <c r="F32" s="45">
        <v>817.53</v>
      </c>
      <c r="G32" s="25">
        <f t="shared" si="11"/>
        <v>220355.38199999998</v>
      </c>
      <c r="H32" s="23">
        <v>24.74</v>
      </c>
      <c r="I32" s="23">
        <v>24.14</v>
      </c>
      <c r="J32" s="23">
        <v>817.53</v>
      </c>
      <c r="K32" s="25">
        <f>$C$4*H32+$E$4*I32+$F$4*J32</f>
        <v>220355.38199999998</v>
      </c>
      <c r="L32" s="26">
        <f t="shared" si="2"/>
        <v>2644264.5839999998</v>
      </c>
    </row>
    <row r="33" spans="1:12" ht="34.5" customHeight="1" x14ac:dyDescent="0.25">
      <c r="A33" s="403" t="s">
        <v>192</v>
      </c>
      <c r="B33" s="403"/>
      <c r="C33" s="48" t="s">
        <v>154</v>
      </c>
      <c r="D33" s="49">
        <f>D9+D16+D20+D21+D22+D30+D23+D31+D29+D32</f>
        <v>101.3</v>
      </c>
      <c r="E33" s="49">
        <f>E9+E16+E20+E21+E22+E30+E23+E31+E29+E32</f>
        <v>94.09</v>
      </c>
      <c r="F33" s="49">
        <f>F9+F16+F20+F21+F22+F30+F23+F31+F29+F32</f>
        <v>3669.9437329653483</v>
      </c>
      <c r="G33" s="49">
        <f>G9+G16+G20+G21+G22+G30+G23+G31+G29+G32</f>
        <v>917919.0748471634</v>
      </c>
      <c r="H33" s="49">
        <f>H32+H31+H30+H29+H23+H22+H21+H20+H16+H9</f>
        <v>109.42</v>
      </c>
      <c r="I33" s="49">
        <f>I32+I31+I30+I29+I23+I22+I21+I20+I16+I9</f>
        <v>102.1</v>
      </c>
      <c r="J33" s="50">
        <f>J32+J31+J30+J29+J23+J22+J21+J20+J16+J9</f>
        <v>3994.5250943396227</v>
      </c>
      <c r="K33" s="50">
        <f>K32+K31+K30+K29+K23+K22+K21+K20+K16+K9</f>
        <v>993250.57000000007</v>
      </c>
      <c r="L33" s="51">
        <f>L32+L31+L30+L29+L23+L22+L21+L20+L16+L9</f>
        <v>11617680.859388653</v>
      </c>
    </row>
    <row r="34" spans="1:12" s="57" customFormat="1" x14ac:dyDescent="0.25">
      <c r="A34" s="52"/>
      <c r="B34" s="52"/>
      <c r="C34" s="53"/>
      <c r="D34" s="54"/>
      <c r="E34" s="54"/>
      <c r="F34" s="54"/>
      <c r="G34" s="54"/>
      <c r="H34" s="55"/>
      <c r="I34" s="55"/>
      <c r="J34" s="55"/>
      <c r="K34" s="56"/>
      <c r="L34" s="56"/>
    </row>
    <row r="36" spans="1:12" x14ac:dyDescent="0.25">
      <c r="L36" s="58">
        <f>G33*4+K33*8</f>
        <v>11617680.859388653</v>
      </c>
    </row>
    <row r="37" spans="1:12" x14ac:dyDescent="0.25">
      <c r="L37" s="59">
        <f>L33-L36</f>
        <v>0</v>
      </c>
    </row>
  </sheetData>
  <mergeCells count="7">
    <mergeCell ref="H7:K7"/>
    <mergeCell ref="A33:B33"/>
    <mergeCell ref="B2:C2"/>
    <mergeCell ref="D2:E2"/>
    <mergeCell ref="F2:G2"/>
    <mergeCell ref="A7:C7"/>
    <mergeCell ref="D7:G7"/>
  </mergeCells>
  <pageMargins left="0.39370078740157483" right="0.39370078740157483" top="0.39370078740157483" bottom="0.39370078740157483" header="0.31496062992125984" footer="0.31496062992125984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sqref="A1:E15"/>
    </sheetView>
  </sheetViews>
  <sheetFormatPr defaultRowHeight="15" x14ac:dyDescent="0.25"/>
  <cols>
    <col min="1" max="1" width="58.42578125" customWidth="1"/>
    <col min="2" max="2" width="25.140625" bestFit="1" customWidth="1"/>
    <col min="3" max="3" width="17.85546875" bestFit="1" customWidth="1"/>
    <col min="4" max="5" width="58.42578125" customWidth="1"/>
  </cols>
  <sheetData>
    <row r="1" spans="1:4" x14ac:dyDescent="0.25">
      <c r="A1" s="407" t="s">
        <v>187</v>
      </c>
      <c r="B1" s="407"/>
      <c r="C1" s="407"/>
      <c r="D1" s="317">
        <v>-64286.9</v>
      </c>
    </row>
    <row r="2" spans="1:4" x14ac:dyDescent="0.25">
      <c r="A2" s="318" t="s">
        <v>386</v>
      </c>
      <c r="B2" s="319" t="s">
        <v>387</v>
      </c>
      <c r="C2" s="319" t="s">
        <v>388</v>
      </c>
      <c r="D2" s="317">
        <v>-8650</v>
      </c>
    </row>
    <row r="3" spans="1:4" ht="22.5" x14ac:dyDescent="0.25">
      <c r="A3" s="318" t="s">
        <v>389</v>
      </c>
      <c r="B3" s="319" t="s">
        <v>387</v>
      </c>
      <c r="C3" s="319" t="s">
        <v>388</v>
      </c>
      <c r="D3" s="317">
        <v>-2827.5</v>
      </c>
    </row>
    <row r="4" spans="1:4" ht="22.5" x14ac:dyDescent="0.25">
      <c r="A4" s="318" t="s">
        <v>390</v>
      </c>
      <c r="B4" s="319" t="s">
        <v>387</v>
      </c>
      <c r="C4" s="319" t="s">
        <v>391</v>
      </c>
      <c r="D4" s="317">
        <v>-2391.1</v>
      </c>
    </row>
    <row r="5" spans="1:4" ht="33.75" x14ac:dyDescent="0.25">
      <c r="A5" s="318" t="s">
        <v>392</v>
      </c>
      <c r="B5" s="319" t="s">
        <v>387</v>
      </c>
      <c r="C5" s="319" t="s">
        <v>393</v>
      </c>
      <c r="D5" s="317">
        <v>-19322.8</v>
      </c>
    </row>
    <row r="6" spans="1:4" ht="22.5" x14ac:dyDescent="0.25">
      <c r="A6" s="318" t="s">
        <v>394</v>
      </c>
      <c r="B6" s="319" t="s">
        <v>395</v>
      </c>
      <c r="C6" s="319"/>
      <c r="D6" s="317">
        <v>-1081</v>
      </c>
    </row>
    <row r="7" spans="1:4" x14ac:dyDescent="0.25">
      <c r="A7" s="318" t="s">
        <v>396</v>
      </c>
      <c r="B7" s="319" t="s">
        <v>395</v>
      </c>
      <c r="C7" s="319"/>
      <c r="D7" s="317">
        <v>-1122.5</v>
      </c>
    </row>
    <row r="8" spans="1:4" x14ac:dyDescent="0.25">
      <c r="A8" s="318" t="s">
        <v>397</v>
      </c>
      <c r="B8" s="319" t="s">
        <v>395</v>
      </c>
      <c r="C8" s="319"/>
      <c r="D8" s="320">
        <v>-50</v>
      </c>
    </row>
    <row r="9" spans="1:4" x14ac:dyDescent="0.25">
      <c r="A9" s="318" t="s">
        <v>398</v>
      </c>
      <c r="B9" s="319" t="s">
        <v>399</v>
      </c>
      <c r="C9" s="319" t="s">
        <v>400</v>
      </c>
      <c r="D9" s="317">
        <v>-5754.01</v>
      </c>
    </row>
    <row r="10" spans="1:4" x14ac:dyDescent="0.25">
      <c r="A10" s="318" t="s">
        <v>401</v>
      </c>
      <c r="B10" s="319" t="s">
        <v>402</v>
      </c>
      <c r="C10" s="319" t="s">
        <v>403</v>
      </c>
      <c r="D10" s="317">
        <v>-1250</v>
      </c>
    </row>
    <row r="11" spans="1:4" x14ac:dyDescent="0.25">
      <c r="A11" s="318" t="s">
        <v>404</v>
      </c>
      <c r="B11" s="319" t="s">
        <v>405</v>
      </c>
      <c r="C11" s="319" t="s">
        <v>406</v>
      </c>
      <c r="D11" s="317">
        <v>-13577.16</v>
      </c>
    </row>
    <row r="12" spans="1:4" x14ac:dyDescent="0.25">
      <c r="A12" s="318" t="s">
        <v>407</v>
      </c>
      <c r="B12" s="319" t="s">
        <v>408</v>
      </c>
      <c r="C12" s="319"/>
      <c r="D12" s="317">
        <v>-8260.83</v>
      </c>
    </row>
    <row r="13" spans="1:4" x14ac:dyDescent="0.25">
      <c r="A13" s="408" t="s">
        <v>409</v>
      </c>
      <c r="B13" s="408"/>
      <c r="C13" s="408"/>
      <c r="D13" s="321">
        <v>-64286.9</v>
      </c>
    </row>
  </sheetData>
  <mergeCells count="2">
    <mergeCell ref="A1:C1"/>
    <mergeCell ref="A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форма_2.8</vt:lpstr>
      <vt:lpstr>начисл.опл.</vt:lpstr>
      <vt:lpstr>КиБ_ОСВ</vt:lpstr>
      <vt:lpstr>12.16_ИП</vt:lpstr>
      <vt:lpstr>тарифы_2016_срав</vt:lpstr>
      <vt:lpstr>тек.рем</vt:lpstr>
      <vt:lpstr>'12.16_ИП'!Заголовки_для_печати</vt:lpstr>
      <vt:lpstr>начисл.опл.!Заголовки_для_печати</vt:lpstr>
      <vt:lpstr>тарифы_2016_срав!Заголовки_для_печати</vt:lpstr>
      <vt:lpstr>форма_2.8!Заголовки_для_печати</vt:lpstr>
      <vt:lpstr>'12.16_ИП'!Область_печати</vt:lpstr>
      <vt:lpstr>начисл.опл.!Область_печати</vt:lpstr>
      <vt:lpstr>тарифы_2016_срав!Область_печати</vt:lpstr>
      <vt:lpstr>форма_2.8!Область_печати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Аверина Юлия Сергеевна</dc:creator>
  <cp:lastModifiedBy>Иняева Инара Равилевна</cp:lastModifiedBy>
  <cp:lastPrinted>2017-06-23T13:38:56Z</cp:lastPrinted>
  <dcterms:created xsi:type="dcterms:W3CDTF">2017-03-22T16:01:11Z</dcterms:created>
  <dcterms:modified xsi:type="dcterms:W3CDTF">2017-06-23T13:38:59Z</dcterms:modified>
</cp:coreProperties>
</file>